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Step8\T81\hisada\"/>
    </mc:Choice>
  </mc:AlternateContent>
  <xr:revisionPtr revIDLastSave="0" documentId="13_ncr:1_{20541220-1B18-4D27-9474-34970E9E1B01}" xr6:coauthVersionLast="43" xr6:coauthVersionMax="43" xr10:uidLastSave="{00000000-0000-0000-0000-000000000000}"/>
  <bookViews>
    <workbookView xWindow="1350" yWindow="1170" windowWidth="17925" windowHeight="1492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E47" i="1" l="1"/>
  <c r="G40" i="1"/>
  <c r="C49" i="1" s="1"/>
  <c r="E49" i="1" s="1"/>
  <c r="E46" i="1"/>
  <c r="C43" i="1"/>
  <c r="E45" i="1" s="1"/>
  <c r="C41" i="1"/>
  <c r="E42" i="1"/>
  <c r="C42" i="1" s="1"/>
  <c r="E41" i="1"/>
  <c r="E40" i="1"/>
  <c r="E27" i="1"/>
  <c r="C48" i="1" l="1"/>
  <c r="C45" i="1"/>
  <c r="C44" i="1"/>
  <c r="E43" i="1"/>
  <c r="M6" i="1"/>
  <c r="M5" i="1" s="1"/>
  <c r="M21" i="1"/>
  <c r="M20" i="1" s="1"/>
  <c r="C19" i="1"/>
  <c r="E19" i="1" s="1"/>
  <c r="B31" i="1"/>
  <c r="D31" i="1" s="1"/>
  <c r="F31" i="1" s="1"/>
  <c r="C17" i="1"/>
  <c r="E17" i="1" s="1"/>
  <c r="E18" i="1"/>
  <c r="G18" i="1"/>
  <c r="I18" i="1" s="1"/>
  <c r="E20" i="1"/>
  <c r="C20" i="1" s="1"/>
  <c r="E3" i="1"/>
  <c r="G3" i="1"/>
  <c r="I3" i="1" s="1"/>
  <c r="C4" i="1"/>
  <c r="E4" i="1" s="1"/>
  <c r="C2" i="1"/>
  <c r="E2" i="1" s="1"/>
  <c r="E5" i="1"/>
  <c r="C5" i="1" s="1"/>
  <c r="G17" i="1" l="1"/>
  <c r="E21" i="1"/>
  <c r="L22" i="1"/>
  <c r="M22" i="1" s="1"/>
  <c r="E7" i="1"/>
  <c r="E6" i="1"/>
  <c r="C6" i="1" s="1"/>
  <c r="C12" i="1" s="1"/>
  <c r="L7" i="1"/>
  <c r="M7" i="1" s="1"/>
  <c r="G27" i="1"/>
  <c r="C23" i="1"/>
  <c r="E23" i="1" s="1"/>
  <c r="K18" i="1"/>
  <c r="C8" i="1"/>
  <c r="C9" i="1" s="1"/>
  <c r="E9" i="1" s="1"/>
  <c r="E28" i="1" s="1"/>
  <c r="C28" i="1" s="1"/>
  <c r="I5" i="1"/>
  <c r="I4" i="1"/>
  <c r="K3" i="1"/>
  <c r="M3" i="1"/>
  <c r="B32" i="1"/>
  <c r="B35" i="1" s="1"/>
  <c r="D35" i="1" s="1"/>
  <c r="B36" i="1" s="1"/>
  <c r="B33" i="1"/>
  <c r="B34" i="1"/>
  <c r="G2" i="1"/>
  <c r="C27" i="1" l="1"/>
  <c r="J27" i="1"/>
  <c r="C24" i="1"/>
  <c r="C25" i="1" s="1"/>
  <c r="D36" i="1"/>
  <c r="F33" i="1"/>
  <c r="B37" i="1" s="1"/>
  <c r="D37" i="1" s="1"/>
  <c r="C10" i="1"/>
  <c r="C11" i="1" s="1"/>
  <c r="E8" i="1"/>
  <c r="C7" i="1"/>
  <c r="G7" i="1" s="1"/>
  <c r="E22" i="1"/>
  <c r="C13" i="1" l="1"/>
  <c r="E13" i="1" s="1"/>
  <c r="G22" i="1"/>
  <c r="G13" i="1" l="1"/>
  <c r="E14" i="1"/>
  <c r="C14" i="1" s="1"/>
</calcChain>
</file>

<file path=xl/sharedStrings.xml><?xml version="1.0" encoding="utf-8"?>
<sst xmlns="http://schemas.openxmlformats.org/spreadsheetml/2006/main" count="143" uniqueCount="59">
  <si>
    <t>面積(km2)</t>
    <rPh sb="0" eb="2">
      <t>メンセキ</t>
    </rPh>
    <phoneticPr fontId="1"/>
  </si>
  <si>
    <t>面積(m2)</t>
    <rPh sb="0" eb="2">
      <t>メンセキ</t>
    </rPh>
    <phoneticPr fontId="1"/>
  </si>
  <si>
    <t>平均すべり(m)</t>
    <rPh sb="0" eb="2">
      <t>ヘイキン</t>
    </rPh>
    <phoneticPr fontId="1"/>
  </si>
  <si>
    <t>剛性(N/m2)</t>
    <rPh sb="0" eb="2">
      <t>ゴウセイ</t>
    </rPh>
    <phoneticPr fontId="1"/>
  </si>
  <si>
    <t>SI単位</t>
    <rPh sb="2" eb="4">
      <t>タンイ</t>
    </rPh>
    <phoneticPr fontId="1"/>
  </si>
  <si>
    <t>M0(Nm)</t>
    <phoneticPr fontId="1"/>
  </si>
  <si>
    <t>P58　表</t>
    <rPh sb="4" eb="5">
      <t>ヒョウ</t>
    </rPh>
    <phoneticPr fontId="1"/>
  </si>
  <si>
    <t>密度(kg/m3)</t>
    <rPh sb="0" eb="2">
      <t>ミツド</t>
    </rPh>
    <phoneticPr fontId="1"/>
  </si>
  <si>
    <t>Vs(m/s)</t>
    <phoneticPr fontId="1"/>
  </si>
  <si>
    <t>小断層(km2)</t>
    <rPh sb="0" eb="3">
      <t>ショウダンソウ</t>
    </rPh>
    <phoneticPr fontId="1"/>
  </si>
  <si>
    <t>SMGA(km2)</t>
    <phoneticPr fontId="1"/>
  </si>
  <si>
    <t>L=W(km)</t>
    <phoneticPr fontId="1"/>
  </si>
  <si>
    <t>Mw</t>
    <phoneticPr fontId="1"/>
  </si>
  <si>
    <t>等価半径R(km)</t>
    <rPh sb="0" eb="2">
      <t>トウカ</t>
    </rPh>
    <rPh sb="2" eb="4">
      <t>ハンケイ</t>
    </rPh>
    <phoneticPr fontId="1"/>
  </si>
  <si>
    <t>等価半径R(m)</t>
    <rPh sb="0" eb="2">
      <t>トウカ</t>
    </rPh>
    <rPh sb="2" eb="4">
      <t>ハンケイ</t>
    </rPh>
    <phoneticPr fontId="1"/>
  </si>
  <si>
    <t>⊿σ(Pa)</t>
    <phoneticPr fontId="1"/>
  </si>
  <si>
    <t>⊿σ(MPa)</t>
    <phoneticPr fontId="1"/>
  </si>
  <si>
    <t>⊿σ(bar)</t>
    <phoneticPr fontId="1"/>
  </si>
  <si>
    <t>初期モデル</t>
    <rPh sb="0" eb="2">
      <t>ショキ</t>
    </rPh>
    <phoneticPr fontId="1"/>
  </si>
  <si>
    <t>62Mpaモデル</t>
    <phoneticPr fontId="1"/>
  </si>
  <si>
    <t>S(km2)</t>
    <phoneticPr fontId="1"/>
  </si>
  <si>
    <t>（岩田・浅野2010）</t>
    <rPh sb="1" eb="3">
      <t>イワタ</t>
    </rPh>
    <rPh sb="4" eb="6">
      <t>アサノ</t>
    </rPh>
    <phoneticPr fontId="1"/>
  </si>
  <si>
    <t>S(km2)</t>
    <phoneticPr fontId="1"/>
  </si>
  <si>
    <t>Sa(km2)</t>
    <phoneticPr fontId="1"/>
  </si>
  <si>
    <t>D(cm)</t>
    <phoneticPr fontId="1"/>
  </si>
  <si>
    <t>L(km)</t>
    <phoneticPr fontId="1"/>
  </si>
  <si>
    <t>W(km)</t>
    <phoneticPr fontId="1"/>
  </si>
  <si>
    <t>⇒ 5 Mpa?</t>
    <phoneticPr fontId="1"/>
  </si>
  <si>
    <t>⇒10.3 Mpa?</t>
    <phoneticPr fontId="1"/>
  </si>
  <si>
    <t>⇒ 7.1(ok)</t>
    <phoneticPr fontId="1"/>
  </si>
  <si>
    <t>⇒ 1.2 m(ok)</t>
    <phoneticPr fontId="1"/>
  </si>
  <si>
    <t>⇒ 7.3(ok)</t>
    <phoneticPr fontId="1"/>
  </si>
  <si>
    <t>⇒ 2.5 m?</t>
    <phoneticPr fontId="1"/>
  </si>
  <si>
    <t>Sa/S(%)</t>
    <phoneticPr fontId="1"/>
  </si>
  <si>
    <t>断層全体</t>
    <rPh sb="0" eb="2">
      <t>ダンソウ</t>
    </rPh>
    <rPh sb="2" eb="4">
      <t>ゼンタイ</t>
    </rPh>
    <phoneticPr fontId="1"/>
  </si>
  <si>
    <t>SMGA</t>
    <phoneticPr fontId="1"/>
  </si>
  <si>
    <t>面積比</t>
    <rPh sb="0" eb="2">
      <t>メンセキ</t>
    </rPh>
    <rPh sb="2" eb="3">
      <t>ヒ</t>
    </rPh>
    <phoneticPr fontId="1"/>
  </si>
  <si>
    <t>⊿σa(MPa)</t>
    <phoneticPr fontId="1"/>
  </si>
  <si>
    <t>⊿σa(MPa)</t>
    <phoneticPr fontId="1"/>
  </si>
  <si>
    <t>⇒ 28.9</t>
    <phoneticPr fontId="1"/>
  </si>
  <si>
    <t>⇒6.8(ok)</t>
    <phoneticPr fontId="1"/>
  </si>
  <si>
    <t>⇒⊿σ(=5)/面積比</t>
    <rPh sb="8" eb="10">
      <t>メンセキ</t>
    </rPh>
    <rPh sb="10" eb="11">
      <t>ヒ</t>
    </rPh>
    <phoneticPr fontId="1"/>
  </si>
  <si>
    <t>⇒⊿σ(=10.3)/面積比</t>
    <rPh sb="11" eb="13">
      <t>メンセキ</t>
    </rPh>
    <rPh sb="13" eb="14">
      <t>ヒ</t>
    </rPh>
    <phoneticPr fontId="1"/>
  </si>
  <si>
    <t>⊿σ(MPa)</t>
    <phoneticPr fontId="1"/>
  </si>
  <si>
    <t>(Eshelby, 1957)</t>
    <phoneticPr fontId="1"/>
  </si>
  <si>
    <t>(Boatwright,1988）</t>
    <phoneticPr fontId="1"/>
  </si>
  <si>
    <t>R(m)</t>
    <phoneticPr fontId="1"/>
  </si>
  <si>
    <t>R(km)</t>
    <phoneticPr fontId="1"/>
  </si>
  <si>
    <t>⇒平均すべりの２倍</t>
    <rPh sb="1" eb="3">
      <t>ヘイキン</t>
    </rPh>
    <rPh sb="8" eb="9">
      <t>バイ</t>
    </rPh>
    <phoneticPr fontId="1"/>
  </si>
  <si>
    <t>⇒7.0(ok)</t>
    <phoneticPr fontId="1"/>
  </si>
  <si>
    <t>⇒5.1(ok)</t>
    <phoneticPr fontId="1"/>
  </si>
  <si>
    <t>Vr(km/s)</t>
    <phoneticPr fontId="1"/>
  </si>
  <si>
    <t>fmax(Hz)</t>
    <phoneticPr fontId="1"/>
  </si>
  <si>
    <t>Vr(m/s)</t>
    <phoneticPr fontId="1"/>
  </si>
  <si>
    <t>W=L(m)</t>
    <phoneticPr fontId="1"/>
  </si>
  <si>
    <t>Vm(m/s)</t>
    <phoneticPr fontId="1"/>
  </si>
  <si>
    <t>td(s)</t>
    <phoneticPr fontId="1"/>
  </si>
  <si>
    <t>tr(s)</t>
    <phoneticPr fontId="1"/>
  </si>
  <si>
    <t>ts(s)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</si>
</sst>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0_);[Red]\(0.00\)"/>
    <numFmt numFmtId="178" formatCode="0_ "/>
    <numFmt numFmtId="179" formatCode="0.0%"/>
    <numFmt numFmtId="180" formatCode="0.0_ "/>
    <numFmt numFmtId="181" formatCode="0.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2" borderId="0" xfId="0" applyFont="1" applyFill="1">
      <alignment vertical="center"/>
    </xf>
    <xf numFmtId="11" fontId="3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11" fontId="4" fillId="3" borderId="0" xfId="0" applyNumberFormat="1" applyFont="1" applyFill="1">
      <alignment vertical="center"/>
    </xf>
    <xf numFmtId="176" fontId="3" fillId="3" borderId="0" xfId="0" applyNumberFormat="1" applyFont="1" applyFill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3" fillId="5" borderId="0" xfId="0" applyFont="1" applyFill="1">
      <alignment vertical="center"/>
    </xf>
    <xf numFmtId="11" fontId="2" fillId="5" borderId="0" xfId="0" applyNumberFormat="1" applyFont="1" applyFill="1">
      <alignment vertical="center"/>
    </xf>
    <xf numFmtId="176" fontId="3" fillId="4" borderId="0" xfId="0" applyNumberFormat="1" applyFont="1" applyFill="1">
      <alignment vertical="center"/>
    </xf>
    <xf numFmtId="0" fontId="2" fillId="6" borderId="0" xfId="0" applyFont="1" applyFill="1">
      <alignment vertical="center"/>
    </xf>
    <xf numFmtId="11" fontId="3" fillId="6" borderId="0" xfId="0" applyNumberFormat="1" applyFont="1" applyFill="1">
      <alignment vertical="center"/>
    </xf>
    <xf numFmtId="177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178" fontId="4" fillId="2" borderId="0" xfId="0" applyNumberFormat="1" applyFont="1" applyFill="1">
      <alignment vertical="center"/>
    </xf>
    <xf numFmtId="11" fontId="0" fillId="0" borderId="0" xfId="0" applyNumberForma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176" fontId="3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11" fontId="4" fillId="0" borderId="0" xfId="0" applyNumberFormat="1" applyFont="1" applyFill="1">
      <alignment vertical="center"/>
    </xf>
    <xf numFmtId="0" fontId="4" fillId="7" borderId="0" xfId="0" applyFont="1" applyFill="1">
      <alignment vertical="center"/>
    </xf>
    <xf numFmtId="176" fontId="4" fillId="7" borderId="0" xfId="0" applyNumberFormat="1" applyFont="1" applyFill="1">
      <alignment vertical="center"/>
    </xf>
    <xf numFmtId="11" fontId="4" fillId="7" borderId="0" xfId="0" applyNumberFormat="1" applyFont="1" applyFill="1">
      <alignment vertical="center"/>
    </xf>
    <xf numFmtId="179" fontId="0" fillId="0" borderId="0" xfId="0" applyNumberFormat="1">
      <alignment vertical="center"/>
    </xf>
    <xf numFmtId="180" fontId="4" fillId="2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9" fontId="3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4" fillId="8" borderId="0" xfId="0" applyFont="1" applyFill="1">
      <alignment vertical="center"/>
    </xf>
    <xf numFmtId="11" fontId="0" fillId="8" borderId="0" xfId="0" applyNumberFormat="1" applyFill="1">
      <alignment vertical="center"/>
    </xf>
    <xf numFmtId="176" fontId="4" fillId="8" borderId="0" xfId="0" applyNumberFormat="1" applyFont="1" applyFill="1">
      <alignment vertical="center"/>
    </xf>
    <xf numFmtId="176" fontId="4" fillId="0" borderId="0" xfId="0" applyNumberFormat="1" applyFont="1">
      <alignment vertical="center"/>
    </xf>
    <xf numFmtId="176" fontId="4" fillId="4" borderId="0" xfId="0" applyNumberFormat="1" applyFont="1" applyFill="1">
      <alignment vertical="center"/>
    </xf>
    <xf numFmtId="11" fontId="4" fillId="0" borderId="0" xfId="0" applyNumberFormat="1" applyFont="1">
      <alignment vertical="center"/>
    </xf>
    <xf numFmtId="176" fontId="4" fillId="2" borderId="0" xfId="0" applyNumberFormat="1" applyFont="1" applyFill="1">
      <alignment vertical="center"/>
    </xf>
    <xf numFmtId="178" fontId="0" fillId="0" borderId="0" xfId="0" applyNumberFormat="1">
      <alignment vertical="center"/>
    </xf>
    <xf numFmtId="18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topLeftCell="A13" workbookViewId="0">
      <selection activeCell="J37" sqref="J37"/>
    </sheetView>
  </sheetViews>
  <sheetFormatPr defaultRowHeight="13.5" x14ac:dyDescent="0.15"/>
  <cols>
    <col min="1" max="1" width="10.375" customWidth="1"/>
    <col min="2" max="2" width="10.875" customWidth="1"/>
    <col min="3" max="3" width="12.5" customWidth="1"/>
    <col min="4" max="4" width="10.5" style="1" bestFit="1" customWidth="1"/>
    <col min="5" max="5" width="11.5" customWidth="1"/>
    <col min="6" max="6" width="9.875" customWidth="1"/>
    <col min="7" max="7" width="11.875" customWidth="1"/>
    <col min="8" max="8" width="8.25" style="1" customWidth="1"/>
    <col min="12" max="12" width="10.25" customWidth="1"/>
  </cols>
  <sheetData>
    <row r="1" spans="1:15" x14ac:dyDescent="0.15">
      <c r="A1" t="s">
        <v>6</v>
      </c>
      <c r="B1" t="s">
        <v>18</v>
      </c>
      <c r="C1" t="s">
        <v>4</v>
      </c>
    </row>
    <row r="2" spans="1:15" x14ac:dyDescent="0.15">
      <c r="A2" t="s">
        <v>34</v>
      </c>
      <c r="B2" t="s">
        <v>5</v>
      </c>
      <c r="C2">
        <f>5.1*10^19</f>
        <v>5.1E+19</v>
      </c>
      <c r="D2" s="7" t="s">
        <v>5</v>
      </c>
      <c r="E2" s="8">
        <f>C2</f>
        <v>5.1E+19</v>
      </c>
      <c r="F2" s="6" t="s">
        <v>12</v>
      </c>
      <c r="G2" s="9">
        <f>(LOG10(E2)-9.1)/1.5</f>
        <v>7.0717134507319566</v>
      </c>
      <c r="H2" s="18" t="s">
        <v>29</v>
      </c>
      <c r="I2" s="1"/>
    </row>
    <row r="3" spans="1:15" x14ac:dyDescent="0.15">
      <c r="B3" t="s">
        <v>0</v>
      </c>
      <c r="C3">
        <v>900</v>
      </c>
      <c r="D3" s="4" t="s">
        <v>1</v>
      </c>
      <c r="E3" s="5">
        <f>C3*1000^2</f>
        <v>900000000</v>
      </c>
      <c r="F3" t="s">
        <v>9</v>
      </c>
      <c r="G3">
        <f>C3/54</f>
        <v>16.666666666666668</v>
      </c>
      <c r="H3" t="s">
        <v>11</v>
      </c>
      <c r="I3" s="17">
        <f>SQRT(G3)</f>
        <v>4.0824829046386304</v>
      </c>
      <c r="J3" t="s">
        <v>10</v>
      </c>
      <c r="K3" s="2">
        <f>G3*9</f>
        <v>150</v>
      </c>
      <c r="L3" s="19" t="s">
        <v>20</v>
      </c>
      <c r="M3" s="20">
        <f>6.57*C2^(2/3)/10^11</f>
        <v>903.53605393018358</v>
      </c>
      <c r="N3" s="19" t="s">
        <v>21</v>
      </c>
      <c r="O3" s="19"/>
    </row>
    <row r="4" spans="1:15" x14ac:dyDescent="0.15">
      <c r="B4" t="s">
        <v>13</v>
      </c>
      <c r="C4" s="3">
        <f>SQRT(C3/PI())</f>
        <v>16.925687506432688</v>
      </c>
      <c r="D4" t="s">
        <v>14</v>
      </c>
      <c r="E4" s="1">
        <f>C4*1000</f>
        <v>16925.687506432689</v>
      </c>
      <c r="F4" s="11" t="s">
        <v>7</v>
      </c>
      <c r="G4" s="12" t="s">
        <v>8</v>
      </c>
      <c r="H4" t="s">
        <v>25</v>
      </c>
      <c r="I4" s="17">
        <f>I3*7</f>
        <v>28.577380332470412</v>
      </c>
      <c r="K4" s="2"/>
    </row>
    <row r="5" spans="1:15" x14ac:dyDescent="0.15">
      <c r="B5" t="s">
        <v>3</v>
      </c>
      <c r="C5" s="1">
        <f>E5</f>
        <v>46400000000</v>
      </c>
      <c r="D5" s="11" t="s">
        <v>3</v>
      </c>
      <c r="E5" s="13">
        <f>F5*G5^2</f>
        <v>46400000000</v>
      </c>
      <c r="F5" s="12">
        <v>2900</v>
      </c>
      <c r="G5" s="12">
        <v>4000</v>
      </c>
      <c r="H5" t="s">
        <v>26</v>
      </c>
      <c r="I5" s="17">
        <f>I3*8</f>
        <v>32.659863237109043</v>
      </c>
      <c r="L5" t="s">
        <v>0</v>
      </c>
      <c r="M5" s="3">
        <f>PI()*M6^2</f>
        <v>851.15672418532836</v>
      </c>
    </row>
    <row r="6" spans="1:15" x14ac:dyDescent="0.15">
      <c r="B6" t="s">
        <v>2</v>
      </c>
      <c r="C6" s="42">
        <f>E6</f>
        <v>1.2212643678160919</v>
      </c>
      <c r="D6" s="10" t="s">
        <v>2</v>
      </c>
      <c r="E6" s="14">
        <f>E2/E3/E5</f>
        <v>1.2212643678160919</v>
      </c>
      <c r="H6" s="18" t="s">
        <v>30</v>
      </c>
      <c r="I6" s="1"/>
      <c r="J6" t="s">
        <v>46</v>
      </c>
      <c r="K6" s="21">
        <v>16460</v>
      </c>
      <c r="L6" t="s">
        <v>47</v>
      </c>
      <c r="M6" s="3">
        <f>K6/1000</f>
        <v>16.46</v>
      </c>
    </row>
    <row r="7" spans="1:15" x14ac:dyDescent="0.15">
      <c r="B7" s="28" t="s">
        <v>16</v>
      </c>
      <c r="C7" s="29">
        <f>E7/1000^2</f>
        <v>4.6016043862706466</v>
      </c>
      <c r="D7" s="28" t="s">
        <v>15</v>
      </c>
      <c r="E7" s="30">
        <f>(7/16)*E2/E4^3</f>
        <v>4601604.3862706469</v>
      </c>
      <c r="F7" t="s">
        <v>17</v>
      </c>
      <c r="G7">
        <f>C7*10</f>
        <v>46.016043862706468</v>
      </c>
      <c r="H7" s="36" t="s">
        <v>27</v>
      </c>
      <c r="I7" s="37"/>
      <c r="J7" s="19" t="s">
        <v>44</v>
      </c>
      <c r="K7" s="35"/>
      <c r="L7" s="30">
        <f>(7/16)*E2/K6^3</f>
        <v>5003325.3069822453</v>
      </c>
      <c r="M7" s="38">
        <f>L7/1000^2</f>
        <v>5.0033253069822452</v>
      </c>
    </row>
    <row r="8" spans="1:15" x14ac:dyDescent="0.15">
      <c r="A8" t="s">
        <v>35</v>
      </c>
      <c r="B8" t="s">
        <v>0</v>
      </c>
      <c r="C8">
        <f>G3*9</f>
        <v>150</v>
      </c>
      <c r="D8" s="4" t="s">
        <v>1</v>
      </c>
      <c r="E8" s="5">
        <f>C8*1000^2</f>
        <v>150000000</v>
      </c>
      <c r="J8" s="19" t="s">
        <v>21</v>
      </c>
    </row>
    <row r="9" spans="1:15" x14ac:dyDescent="0.15">
      <c r="B9" t="s">
        <v>13</v>
      </c>
      <c r="C9" s="3">
        <f>SQRT(C8/PI())</f>
        <v>6.90988298942671</v>
      </c>
      <c r="D9" t="s">
        <v>14</v>
      </c>
      <c r="E9" s="1">
        <f>C9*1000</f>
        <v>6909.8829894267101</v>
      </c>
    </row>
    <row r="10" spans="1:15" x14ac:dyDescent="0.15">
      <c r="B10" t="s">
        <v>36</v>
      </c>
      <c r="C10" s="31">
        <f>C8/C3</f>
        <v>0.16666666666666666</v>
      </c>
    </row>
    <row r="11" spans="1:15" x14ac:dyDescent="0.15">
      <c r="B11" s="28" t="s">
        <v>16</v>
      </c>
      <c r="C11" s="29">
        <f>5/C10</f>
        <v>30</v>
      </c>
      <c r="D11" s="1" t="s">
        <v>41</v>
      </c>
      <c r="F11" s="19" t="s">
        <v>45</v>
      </c>
      <c r="G11" s="19"/>
      <c r="H11" s="32" t="s">
        <v>39</v>
      </c>
      <c r="I11" s="19" t="s">
        <v>21</v>
      </c>
      <c r="J11" s="19"/>
    </row>
    <row r="12" spans="1:15" x14ac:dyDescent="0.15">
      <c r="B12" t="s">
        <v>2</v>
      </c>
      <c r="C12">
        <f>C6*2</f>
        <v>2.4425287356321839</v>
      </c>
      <c r="D12" s="1" t="s">
        <v>48</v>
      </c>
    </row>
    <row r="13" spans="1:15" x14ac:dyDescent="0.15">
      <c r="B13" t="s">
        <v>5</v>
      </c>
      <c r="C13" s="1">
        <f>E8*C12*C5</f>
        <v>1.7E+19</v>
      </c>
      <c r="D13" s="7" t="s">
        <v>5</v>
      </c>
      <c r="E13" s="8">
        <f>C13</f>
        <v>1.7E+19</v>
      </c>
      <c r="F13" s="6" t="s">
        <v>12</v>
      </c>
      <c r="G13" s="9">
        <f>(LOG10(E13)-9.1)/1.5</f>
        <v>6.7536326142521821</v>
      </c>
      <c r="H13" s="18" t="s">
        <v>40</v>
      </c>
    </row>
    <row r="14" spans="1:15" s="24" customFormat="1" x14ac:dyDescent="0.15">
      <c r="B14" s="28" t="s">
        <v>16</v>
      </c>
      <c r="C14" s="29">
        <f>E14/1000^2</f>
        <v>22.543165489032059</v>
      </c>
      <c r="D14" s="33" t="s">
        <v>15</v>
      </c>
      <c r="E14" s="27">
        <f>(7/16)*E13/E9^3</f>
        <v>22543165.48903206</v>
      </c>
      <c r="F14" s="22"/>
      <c r="G14" s="25"/>
      <c r="H14" s="33"/>
    </row>
    <row r="16" spans="1:15" x14ac:dyDescent="0.15">
      <c r="A16" t="s">
        <v>6</v>
      </c>
      <c r="B16" t="s">
        <v>19</v>
      </c>
      <c r="C16" t="s">
        <v>4</v>
      </c>
    </row>
    <row r="17" spans="1:13" x14ac:dyDescent="0.15">
      <c r="A17" t="s">
        <v>34</v>
      </c>
      <c r="B17" t="s">
        <v>5</v>
      </c>
      <c r="C17">
        <f>1.1*10^20</f>
        <v>1.1000000000000002E+20</v>
      </c>
      <c r="D17" s="7" t="s">
        <v>5</v>
      </c>
      <c r="E17" s="8">
        <f>C17</f>
        <v>1.1000000000000002E+20</v>
      </c>
      <c r="F17" s="6" t="s">
        <v>12</v>
      </c>
      <c r="G17" s="9">
        <f>(LOG10(E17)-9.1)/1.5</f>
        <v>7.2942617901054838</v>
      </c>
      <c r="H17" s="18" t="s">
        <v>31</v>
      </c>
      <c r="I17" s="1"/>
    </row>
    <row r="18" spans="1:13" x14ac:dyDescent="0.15">
      <c r="B18" t="s">
        <v>0</v>
      </c>
      <c r="C18">
        <v>900</v>
      </c>
      <c r="D18" t="s">
        <v>1</v>
      </c>
      <c r="E18" s="1">
        <f>C18*1000^2</f>
        <v>900000000</v>
      </c>
      <c r="F18" t="s">
        <v>9</v>
      </c>
      <c r="G18">
        <f>C18/54</f>
        <v>16.666666666666668</v>
      </c>
      <c r="H18" t="s">
        <v>11</v>
      </c>
      <c r="I18" s="2">
        <f>SQRT(G18)</f>
        <v>4.0824829046386304</v>
      </c>
      <c r="J18" t="s">
        <v>10</v>
      </c>
      <c r="K18" s="2">
        <f>G18*9</f>
        <v>150</v>
      </c>
    </row>
    <row r="19" spans="1:13" x14ac:dyDescent="0.15">
      <c r="B19" t="s">
        <v>13</v>
      </c>
      <c r="C19" s="3">
        <f>SQRT(C18/PI())</f>
        <v>16.925687506432688</v>
      </c>
      <c r="D19" t="s">
        <v>14</v>
      </c>
      <c r="E19" s="21">
        <f>C19*1000</f>
        <v>16925.687506432689</v>
      </c>
      <c r="F19" s="22" t="s">
        <v>7</v>
      </c>
      <c r="G19" s="23" t="s">
        <v>8</v>
      </c>
      <c r="H19"/>
      <c r="I19" s="2"/>
      <c r="K19" s="2"/>
    </row>
    <row r="20" spans="1:13" x14ac:dyDescent="0.15">
      <c r="B20" t="s">
        <v>3</v>
      </c>
      <c r="C20" s="1">
        <f>E20</f>
        <v>46400000000</v>
      </c>
      <c r="D20" s="15" t="s">
        <v>3</v>
      </c>
      <c r="E20" s="16">
        <f>F20*G20^2</f>
        <v>46400000000</v>
      </c>
      <c r="F20" s="22">
        <v>2900</v>
      </c>
      <c r="G20" s="22">
        <v>4000</v>
      </c>
      <c r="H20"/>
      <c r="I20" s="1"/>
      <c r="L20" t="s">
        <v>0</v>
      </c>
      <c r="M20" s="3">
        <f>PI()*M21^2</f>
        <v>878.25861568931668</v>
      </c>
    </row>
    <row r="21" spans="1:13" x14ac:dyDescent="0.15">
      <c r="B21" t="s">
        <v>2</v>
      </c>
      <c r="C21" s="39">
        <v>2.5</v>
      </c>
      <c r="D21" s="10" t="s">
        <v>2</v>
      </c>
      <c r="E21" s="40">
        <f>E17/E18/E20</f>
        <v>2.6340996168582382</v>
      </c>
      <c r="F21" s="24"/>
      <c r="G21" s="24"/>
      <c r="H21" s="18" t="s">
        <v>32</v>
      </c>
      <c r="I21" s="1"/>
      <c r="J21" t="s">
        <v>46</v>
      </c>
      <c r="K21" s="21">
        <v>16720</v>
      </c>
      <c r="L21" t="s">
        <v>47</v>
      </c>
      <c r="M21" s="3">
        <f>K21/1000</f>
        <v>16.72</v>
      </c>
    </row>
    <row r="22" spans="1:13" x14ac:dyDescent="0.15">
      <c r="B22" s="28" t="s">
        <v>16</v>
      </c>
      <c r="C22" s="29">
        <f>E22/1000^2</f>
        <v>9.9250290684268858</v>
      </c>
      <c r="D22" s="28" t="s">
        <v>15</v>
      </c>
      <c r="E22" s="30">
        <f>(7/16)*E17/E19^3</f>
        <v>9925029.0684268866</v>
      </c>
      <c r="F22" s="24" t="s">
        <v>17</v>
      </c>
      <c r="G22" s="24">
        <f>C22*10</f>
        <v>99.250290684268862</v>
      </c>
      <c r="H22" s="36" t="s">
        <v>28</v>
      </c>
      <c r="I22" s="37"/>
      <c r="J22" s="19" t="s">
        <v>44</v>
      </c>
      <c r="K22" s="35"/>
      <c r="L22" s="30">
        <f>(7/16)*E17/K21^3</f>
        <v>10295843.278843386</v>
      </c>
      <c r="M22" s="38">
        <f>L22/1000^2</f>
        <v>10.295843278843385</v>
      </c>
    </row>
    <row r="23" spans="1:13" x14ac:dyDescent="0.15">
      <c r="A23" t="s">
        <v>35</v>
      </c>
      <c r="B23" t="s">
        <v>0</v>
      </c>
      <c r="C23">
        <f>G18*9</f>
        <v>150</v>
      </c>
      <c r="D23" s="4" t="s">
        <v>1</v>
      </c>
      <c r="E23" s="5">
        <f>C23*1000^2</f>
        <v>150000000</v>
      </c>
    </row>
    <row r="24" spans="1:13" x14ac:dyDescent="0.15">
      <c r="B24" t="s">
        <v>36</v>
      </c>
      <c r="C24" s="31">
        <f>C23/C18</f>
        <v>0.16666666666666666</v>
      </c>
    </row>
    <row r="25" spans="1:13" x14ac:dyDescent="0.15">
      <c r="B25" s="28" t="s">
        <v>16</v>
      </c>
      <c r="C25" s="29">
        <f>10.3/C24</f>
        <v>61.800000000000004</v>
      </c>
      <c r="D25" s="1" t="s">
        <v>42</v>
      </c>
      <c r="F25" s="19" t="s">
        <v>45</v>
      </c>
      <c r="G25" s="19"/>
    </row>
    <row r="26" spans="1:13" x14ac:dyDescent="0.15">
      <c r="B26" t="s">
        <v>2</v>
      </c>
      <c r="C26" s="3">
        <v>5</v>
      </c>
      <c r="D26" s="1" t="s">
        <v>48</v>
      </c>
    </row>
    <row r="27" spans="1:13" x14ac:dyDescent="0.15">
      <c r="B27" t="s">
        <v>5</v>
      </c>
      <c r="C27" s="41">
        <f>E23*C26*C5</f>
        <v>3.48E+19</v>
      </c>
      <c r="D27" s="7" t="s">
        <v>5</v>
      </c>
      <c r="E27" s="8">
        <f>3.5*10^19</f>
        <v>3.5E+19</v>
      </c>
      <c r="F27" s="6" t="s">
        <v>12</v>
      </c>
      <c r="G27" s="9">
        <f>(LOG10(E27)-9.1)/1.5</f>
        <v>6.962712029566851</v>
      </c>
      <c r="H27" s="18" t="s">
        <v>49</v>
      </c>
      <c r="J27" s="1">
        <f>E23*E20*5.1</f>
        <v>3.5495999999999996E+19</v>
      </c>
    </row>
    <row r="28" spans="1:13" s="24" customFormat="1" x14ac:dyDescent="0.15">
      <c r="B28" s="28" t="s">
        <v>16</v>
      </c>
      <c r="C28" s="29">
        <f>E28/1000^2</f>
        <v>46.412399536242475</v>
      </c>
      <c r="D28" s="33" t="s">
        <v>15</v>
      </c>
      <c r="E28" s="27">
        <f>(7/16)*E27/E9^3</f>
        <v>46412399.536242478</v>
      </c>
      <c r="F28" s="22"/>
      <c r="G28" s="25"/>
      <c r="H28" s="33"/>
    </row>
    <row r="30" spans="1:13" x14ac:dyDescent="0.15">
      <c r="A30" t="s">
        <v>6</v>
      </c>
      <c r="B30" t="s">
        <v>18</v>
      </c>
    </row>
    <row r="31" spans="1:13" x14ac:dyDescent="0.15">
      <c r="A31" t="s">
        <v>5</v>
      </c>
      <c r="B31">
        <f>5.1*10^19</f>
        <v>5.1E+19</v>
      </c>
      <c r="C31" t="s">
        <v>5</v>
      </c>
      <c r="D31" s="1">
        <f>B31</f>
        <v>5.1E+19</v>
      </c>
      <c r="E31" t="s">
        <v>12</v>
      </c>
      <c r="F31">
        <f>(LOG10(D31)-9.1)/1.5</f>
        <v>7.0717134507319566</v>
      </c>
    </row>
    <row r="32" spans="1:13" x14ac:dyDescent="0.15">
      <c r="A32" t="s">
        <v>22</v>
      </c>
      <c r="B32" s="3">
        <f>6.57*B31^(2/3)/10^11</f>
        <v>903.53605393018358</v>
      </c>
      <c r="C32" t="s">
        <v>21</v>
      </c>
    </row>
    <row r="33" spans="1:7" x14ac:dyDescent="0.15">
      <c r="A33" t="s">
        <v>23</v>
      </c>
      <c r="B33" s="3">
        <f>1.04*B31^(2/3)/10^11</f>
        <v>143.02549407722844</v>
      </c>
      <c r="C33" t="s">
        <v>21</v>
      </c>
      <c r="E33" s="4" t="s">
        <v>33</v>
      </c>
      <c r="F33" s="34">
        <f>B33/B32</f>
        <v>0.15829528158295281</v>
      </c>
    </row>
    <row r="34" spans="1:7" x14ac:dyDescent="0.15">
      <c r="A34" t="s">
        <v>24</v>
      </c>
      <c r="B34" s="3">
        <f>2.25*B31^(1/3)/10^5</f>
        <v>83.439669808489171</v>
      </c>
      <c r="C34" t="s">
        <v>21</v>
      </c>
    </row>
    <row r="35" spans="1:7" x14ac:dyDescent="0.15">
      <c r="A35" t="s">
        <v>13</v>
      </c>
      <c r="B35" s="3">
        <f>SQRT(B32/PI())</f>
        <v>16.958904990873322</v>
      </c>
      <c r="C35" t="s">
        <v>14</v>
      </c>
      <c r="D35" s="1">
        <f>B35*1000</f>
        <v>16958.904990873321</v>
      </c>
    </row>
    <row r="36" spans="1:7" x14ac:dyDescent="0.15">
      <c r="A36" s="33" t="s">
        <v>15</v>
      </c>
      <c r="B36" s="27">
        <f>(7/16)*B31/D35^3</f>
        <v>4574617.7637772132</v>
      </c>
      <c r="C36" s="33" t="s">
        <v>43</v>
      </c>
      <c r="D36" s="26">
        <f>B36/1000^2</f>
        <v>4.574617763777213</v>
      </c>
      <c r="E36" s="19" t="s">
        <v>44</v>
      </c>
      <c r="F36" s="35"/>
    </row>
    <row r="37" spans="1:7" x14ac:dyDescent="0.15">
      <c r="A37" s="33" t="s">
        <v>38</v>
      </c>
      <c r="B37" s="27">
        <f>B36/F33</f>
        <v>28899267.988477204</v>
      </c>
      <c r="C37" s="33" t="s">
        <v>37</v>
      </c>
      <c r="D37" s="26">
        <f>B37/1000^2</f>
        <v>28.899267988477202</v>
      </c>
      <c r="E37" s="19" t="s">
        <v>45</v>
      </c>
      <c r="F37" s="19"/>
    </row>
    <row r="38" spans="1:7" x14ac:dyDescent="0.15">
      <c r="B38" s="3"/>
    </row>
    <row r="40" spans="1:7" x14ac:dyDescent="0.15">
      <c r="A40" t="s">
        <v>35</v>
      </c>
      <c r="B40" t="s">
        <v>0</v>
      </c>
      <c r="C40">
        <v>150</v>
      </c>
      <c r="D40" s="4" t="s">
        <v>1</v>
      </c>
      <c r="E40" s="5">
        <f>C40*1000^2</f>
        <v>150000000</v>
      </c>
      <c r="F40" t="s">
        <v>54</v>
      </c>
      <c r="G40" s="43">
        <f>SQRT(E40)</f>
        <v>12247.44871391589</v>
      </c>
    </row>
    <row r="41" spans="1:7" x14ac:dyDescent="0.15">
      <c r="B41" t="s">
        <v>13</v>
      </c>
      <c r="C41" s="3">
        <f>SQRT(C40/PI())</f>
        <v>6.90988298942671</v>
      </c>
      <c r="D41" t="s">
        <v>14</v>
      </c>
      <c r="E41" s="21">
        <f>C41*1000</f>
        <v>6909.8829894267101</v>
      </c>
      <c r="F41" s="22" t="s">
        <v>7</v>
      </c>
      <c r="G41" s="23" t="s">
        <v>8</v>
      </c>
    </row>
    <row r="42" spans="1:7" x14ac:dyDescent="0.15">
      <c r="B42" t="s">
        <v>3</v>
      </c>
      <c r="C42" s="1">
        <f>E42</f>
        <v>46400000000</v>
      </c>
      <c r="D42" s="15" t="s">
        <v>3</v>
      </c>
      <c r="E42" s="16">
        <f>F42*G42^2</f>
        <v>46400000000</v>
      </c>
      <c r="F42" s="22">
        <v>2900</v>
      </c>
      <c r="G42" s="22">
        <v>4000</v>
      </c>
    </row>
    <row r="43" spans="1:7" x14ac:dyDescent="0.15">
      <c r="B43" s="7" t="s">
        <v>5</v>
      </c>
      <c r="C43" s="8">
        <f>3.51*10^19</f>
        <v>3.5099999999999996E+19</v>
      </c>
      <c r="D43" s="6" t="s">
        <v>12</v>
      </c>
      <c r="E43" s="9">
        <f>(LOG10(C43)-9.1)/1.5</f>
        <v>6.9635380776438831</v>
      </c>
      <c r="F43" s="18" t="s">
        <v>49</v>
      </c>
    </row>
    <row r="44" spans="1:7" x14ac:dyDescent="0.15">
      <c r="B44" t="s">
        <v>2</v>
      </c>
      <c r="C44" s="3">
        <f>C43/C42/E40</f>
        <v>5.0431034482758621</v>
      </c>
      <c r="F44" s="18" t="s">
        <v>50</v>
      </c>
    </row>
    <row r="45" spans="1:7" x14ac:dyDescent="0.15">
      <c r="B45" s="28" t="s">
        <v>16</v>
      </c>
      <c r="C45" s="29">
        <f>E45/1000^2</f>
        <v>46.545006392060309</v>
      </c>
      <c r="D45" s="33" t="s">
        <v>15</v>
      </c>
      <c r="E45" s="27">
        <f>(7/16)*C43/E41^3</f>
        <v>46545006.39206031</v>
      </c>
    </row>
    <row r="46" spans="1:7" x14ac:dyDescent="0.15">
      <c r="B46" t="s">
        <v>51</v>
      </c>
      <c r="C46">
        <v>2.9</v>
      </c>
      <c r="D46" t="s">
        <v>53</v>
      </c>
      <c r="E46">
        <f>C46*1000</f>
        <v>2900</v>
      </c>
    </row>
    <row r="47" spans="1:7" x14ac:dyDescent="0.15">
      <c r="B47" t="s">
        <v>52</v>
      </c>
      <c r="C47">
        <v>6</v>
      </c>
      <c r="D47" s="1" t="s">
        <v>56</v>
      </c>
      <c r="E47" s="44">
        <f>1/PI()/C47</f>
        <v>5.3051647697298449E-2</v>
      </c>
    </row>
    <row r="48" spans="1:7" x14ac:dyDescent="0.15">
      <c r="B48" t="s">
        <v>55</v>
      </c>
      <c r="C48" s="3">
        <f>E45*SQRT(2*C47*G40*E46)/E42</f>
        <v>20.70940161750384</v>
      </c>
    </row>
    <row r="49" spans="2:5" x14ac:dyDescent="0.15">
      <c r="B49" t="s">
        <v>57</v>
      </c>
      <c r="C49" s="44">
        <f>0.5*G40/E46</f>
        <v>2.1116290886061879</v>
      </c>
      <c r="D49" s="1" t="s">
        <v>58</v>
      </c>
      <c r="E49" s="44">
        <f>C49*1.5</f>
        <v>3.1674436329092819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2014-12-13T07:31:02Z</dcterms:created>
  <dcterms:modified xsi:type="dcterms:W3CDTF">2020-12-15T23:03:51Z</dcterms:modified>
</cp:coreProperties>
</file>