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30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<sst xmlns="http://schemas.openxmlformats.org/spreadsheetml/2006/main" count="51" uniqueCount="45">
  <si>
    <t>Vs(m/s)</t>
  </si>
  <si>
    <t>D(m)</t>
  </si>
  <si>
    <t>L(m)</t>
  </si>
  <si>
    <t>W(m)</t>
  </si>
  <si>
    <t>√S(m)</t>
  </si>
  <si>
    <t>density(kg/m3)</t>
  </si>
  <si>
    <t>G(kg/m/s2)</t>
  </si>
  <si>
    <t>G*D/S(kg/m/s2)</t>
  </si>
  <si>
    <t>G*D/S(bar)</t>
  </si>
  <si>
    <t>C</t>
  </si>
  <si>
    <t>⊿σ(bar)</t>
  </si>
  <si>
    <t>1 bar=10^5 kg/m/s2</t>
  </si>
  <si>
    <t xml:space="preserve"> </t>
  </si>
  <si>
    <t>S(km2)</t>
  </si>
  <si>
    <t>S(m2)</t>
  </si>
  <si>
    <t>D(m)</t>
  </si>
  <si>
    <t>G*D/S(Mpa)</t>
  </si>
  <si>
    <t>M0(Nm)</t>
  </si>
  <si>
    <t>M0/S^1.5(kg/m/s2)</t>
  </si>
  <si>
    <t xml:space="preserve"> </t>
  </si>
  <si>
    <t>c</t>
  </si>
  <si>
    <t>⊿σ(Mpa)</t>
  </si>
  <si>
    <t>Northridge(Kagawa)</t>
  </si>
  <si>
    <t>Landers(Kagawa)</t>
  </si>
  <si>
    <t>Landers(Deep Asperity 1)</t>
  </si>
  <si>
    <t>Northridge(asperity 2)</t>
  </si>
  <si>
    <t>⊿σ(bar)</t>
  </si>
  <si>
    <t>Northridge(asperity 1)</t>
  </si>
  <si>
    <t>Northridge(background)</t>
  </si>
  <si>
    <t>Northridge(要素)</t>
  </si>
  <si>
    <t>Northridge(Wald)</t>
  </si>
  <si>
    <t>M0(Nm):Esheby式</t>
  </si>
  <si>
    <t>Sa(km2)：Somerville</t>
  </si>
  <si>
    <t>M0(dyne-cm)：Somerville式</t>
  </si>
  <si>
    <t>Sa(km2)：0.215倍</t>
  </si>
  <si>
    <t>L(km)</t>
  </si>
  <si>
    <t>W(km)</t>
  </si>
  <si>
    <t>S(km2)</t>
  </si>
  <si>
    <t>⊿σ(Mpa)</t>
  </si>
  <si>
    <t>SS(km2)</t>
  </si>
  <si>
    <t>SL(km2):0.15</t>
  </si>
  <si>
    <t>⊿σA(Mpa)</t>
  </si>
  <si>
    <t>Dasp(m)</t>
  </si>
  <si>
    <t>Mw</t>
  </si>
  <si>
    <t>Northridge(average)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</si>
</sst>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0_ "/>
    <numFmt numFmtId="179" formatCode="0.00_ "/>
    <numFmt numFmtId="180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179" fontId="0" fillId="2" borderId="0" xfId="0" applyNumberFormat="1" applyFill="1" applyAlignment="1">
      <alignment vertical="center"/>
    </xf>
    <xf numFmtId="180" fontId="0" fillId="2" borderId="0" xfId="0" applyNumberFormat="1" applyFill="1" applyAlignment="1">
      <alignment vertical="center"/>
    </xf>
    <xf numFmtId="0" fontId="4" fillId="2" borderId="0" xfId="0" applyFont="1" applyFill="1" applyAlignment="1">
      <alignment vertical="center"/>
    </xf>
    <xf numFmtId="180" fontId="0" fillId="0" borderId="0" xfId="0" applyNumberFormat="1" applyAlignment="1">
      <alignment vertical="center"/>
    </xf>
    <xf numFmtId="180" fontId="2" fillId="2" borderId="0" xfId="0" applyNumberFormat="1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I27" sqref="I27"/>
    </sheetView>
  </sheetViews>
  <sheetFormatPr defaultColWidth="9.00390625" defaultRowHeight="13.5"/>
  <cols>
    <col min="1" max="1" width="16.75390625" style="0" customWidth="1"/>
    <col min="2" max="3" width="6.50390625" style="0" customWidth="1"/>
    <col min="4" max="4" width="9.00390625" style="0" customWidth="1"/>
    <col min="5" max="5" width="8.625" style="0" customWidth="1"/>
    <col min="6" max="6" width="11.625" style="1" customWidth="1"/>
    <col min="7" max="7" width="8.875" style="1" customWidth="1"/>
    <col min="8" max="8" width="12.625" style="1" customWidth="1"/>
    <col min="9" max="9" width="15.50390625" style="1" customWidth="1"/>
    <col min="10" max="10" width="10.875" style="2" customWidth="1"/>
    <col min="11" max="11" width="8.125" style="3" customWidth="1"/>
    <col min="12" max="12" width="9.375" style="22" customWidth="1"/>
    <col min="13" max="13" width="10.25390625" style="2" customWidth="1"/>
    <col min="14" max="14" width="6.625" style="2" customWidth="1"/>
    <col min="15" max="15" width="7.75390625" style="0" customWidth="1"/>
  </cols>
  <sheetData>
    <row r="1" spans="2:12" ht="13.5">
      <c r="B1" t="s">
        <v>5</v>
      </c>
      <c r="C1" t="s">
        <v>0</v>
      </c>
      <c r="D1" t="s">
        <v>6</v>
      </c>
      <c r="E1" t="s">
        <v>1</v>
      </c>
      <c r="F1" s="1" t="s">
        <v>2</v>
      </c>
      <c r="G1" s="1" t="s">
        <v>3</v>
      </c>
      <c r="H1" s="1" t="s">
        <v>4</v>
      </c>
      <c r="I1" s="1" t="s">
        <v>7</v>
      </c>
      <c r="J1" s="2" t="s">
        <v>8</v>
      </c>
      <c r="K1" s="3" t="s">
        <v>9</v>
      </c>
      <c r="L1" s="22" t="s">
        <v>10</v>
      </c>
    </row>
    <row r="2" spans="2:12" ht="13.5">
      <c r="B2">
        <v>2800</v>
      </c>
      <c r="C2">
        <v>3600</v>
      </c>
      <c r="D2">
        <f>B2*C2*C2</f>
        <v>36288000000</v>
      </c>
      <c r="E2">
        <v>0.7</v>
      </c>
      <c r="F2" s="1">
        <v>18000</v>
      </c>
      <c r="G2" s="1">
        <v>24000</v>
      </c>
      <c r="H2" s="1">
        <f>SQRT(F2*G2)</f>
        <v>20784.609690826528</v>
      </c>
      <c r="I2" s="1">
        <f>D2*E2/H2</f>
        <v>1222135.0498205998</v>
      </c>
      <c r="J2" s="2">
        <f>I2/10^5</f>
        <v>12.221350498205998</v>
      </c>
      <c r="K2" s="3">
        <v>2</v>
      </c>
      <c r="L2" s="22">
        <f>J2*K2</f>
        <v>24.442700996411997</v>
      </c>
    </row>
    <row r="3" ht="13.5">
      <c r="I3" s="1" t="s">
        <v>11</v>
      </c>
    </row>
    <row r="4" spans="2:12" ht="13.5">
      <c r="B4">
        <v>2800</v>
      </c>
      <c r="C4">
        <v>3600</v>
      </c>
      <c r="D4">
        <f>B4*C4*C4</f>
        <v>36288000000</v>
      </c>
      <c r="E4">
        <v>0.7</v>
      </c>
      <c r="F4" s="1">
        <v>18000</v>
      </c>
      <c r="G4" s="1">
        <v>24000</v>
      </c>
      <c r="H4" s="1">
        <f>SQRT(F4*G4)</f>
        <v>20784.609690826528</v>
      </c>
      <c r="I4" s="1">
        <f>D4*E4/H4</f>
        <v>1222135.0498205998</v>
      </c>
      <c r="J4" s="2">
        <f>I4/10^5</f>
        <v>12.221350498205998</v>
      </c>
      <c r="K4" s="3">
        <v>3</v>
      </c>
      <c r="L4" s="22">
        <f>J4*K4</f>
        <v>36.66405149461799</v>
      </c>
    </row>
    <row r="5" ht="13.5">
      <c r="B5" t="s">
        <v>12</v>
      </c>
    </row>
    <row r="6" spans="2:12" ht="13.5">
      <c r="B6">
        <v>2800</v>
      </c>
      <c r="C6">
        <v>3600</v>
      </c>
      <c r="D6">
        <f>B6*C6*C6</f>
        <v>36288000000</v>
      </c>
      <c r="E6">
        <v>0.55</v>
      </c>
      <c r="F6" s="1">
        <v>18000</v>
      </c>
      <c r="G6" s="1">
        <v>24000</v>
      </c>
      <c r="H6" s="1">
        <f>SQRT(F6*G6)</f>
        <v>20784.609690826528</v>
      </c>
      <c r="I6" s="1">
        <f>D6*E6/H6</f>
        <v>960248.9677161855</v>
      </c>
      <c r="J6" s="2">
        <f>I6/10^5</f>
        <v>9.602489677161856</v>
      </c>
      <c r="K6" s="3">
        <v>3</v>
      </c>
      <c r="L6" s="22">
        <f>J6*K6</f>
        <v>28.807469031485567</v>
      </c>
    </row>
    <row r="7" spans="2:12" ht="13.5">
      <c r="B7">
        <v>2800</v>
      </c>
      <c r="C7">
        <v>3600</v>
      </c>
      <c r="D7">
        <f>B7*C7*C7</f>
        <v>36288000000</v>
      </c>
      <c r="E7">
        <v>1.08</v>
      </c>
      <c r="F7" s="1">
        <v>18000</v>
      </c>
      <c r="G7" s="1">
        <v>24000</v>
      </c>
      <c r="H7" s="1">
        <f>SQRT(F7*G7)</f>
        <v>20784.609690826528</v>
      </c>
      <c r="I7" s="1">
        <f>D7*E7/H7</f>
        <v>1885579.7911517825</v>
      </c>
      <c r="J7" s="2">
        <f>I7/10^5</f>
        <v>18.855797911517826</v>
      </c>
      <c r="K7" s="3">
        <v>3</v>
      </c>
      <c r="L7" s="22">
        <f>J7*K7</f>
        <v>56.56739373455348</v>
      </c>
    </row>
    <row r="8" spans="2:12" ht="13.5">
      <c r="B8">
        <v>2800</v>
      </c>
      <c r="C8">
        <v>3600</v>
      </c>
      <c r="D8">
        <f>B8*C8*C8</f>
        <v>36288000000</v>
      </c>
      <c r="E8">
        <v>1.46</v>
      </c>
      <c r="F8" s="1">
        <v>18000</v>
      </c>
      <c r="G8" s="1">
        <v>24000</v>
      </c>
      <c r="H8" s="1">
        <f>SQRT(F8*G8)</f>
        <v>20784.609690826528</v>
      </c>
      <c r="I8" s="1">
        <f>D8*E8/H8</f>
        <v>2549024.5324829654</v>
      </c>
      <c r="J8" s="2">
        <f>I8/10^5</f>
        <v>25.490245324829655</v>
      </c>
      <c r="K8" s="3">
        <v>3</v>
      </c>
      <c r="L8" s="22">
        <f>J8*K8</f>
        <v>76.47073597448896</v>
      </c>
    </row>
    <row r="10" spans="1:13" ht="13.5">
      <c r="A10" t="s">
        <v>19</v>
      </c>
      <c r="B10" t="s">
        <v>5</v>
      </c>
      <c r="C10" t="s">
        <v>0</v>
      </c>
      <c r="D10" t="s">
        <v>6</v>
      </c>
      <c r="E10" t="s">
        <v>15</v>
      </c>
      <c r="F10" s="1" t="s">
        <v>13</v>
      </c>
      <c r="G10" s="1" t="s">
        <v>14</v>
      </c>
      <c r="H10" s="1" t="s">
        <v>17</v>
      </c>
      <c r="I10" s="1" t="s">
        <v>18</v>
      </c>
      <c r="J10" s="2" t="s">
        <v>16</v>
      </c>
      <c r="K10" s="1" t="s">
        <v>20</v>
      </c>
      <c r="L10" s="22" t="s">
        <v>21</v>
      </c>
      <c r="M10" s="2" t="s">
        <v>26</v>
      </c>
    </row>
    <row r="11" spans="1:13" ht="13.5">
      <c r="A11" t="s">
        <v>23</v>
      </c>
      <c r="B11">
        <v>2700</v>
      </c>
      <c r="C11">
        <v>3520</v>
      </c>
      <c r="D11">
        <f aca="true" t="shared" si="0" ref="D11:D17">B11*C11*C11</f>
        <v>33454080000</v>
      </c>
      <c r="E11">
        <v>2.16</v>
      </c>
      <c r="F11" s="1">
        <v>1035</v>
      </c>
      <c r="G11" s="3">
        <f aca="true" t="shared" si="1" ref="G11:G18">F11*1000*1000</f>
        <v>1035000000</v>
      </c>
      <c r="H11" s="3">
        <f aca="true" t="shared" si="2" ref="H11:H17">D11*E11*G11</f>
        <v>7.4789941248E+19</v>
      </c>
      <c r="I11" s="3">
        <f aca="true" t="shared" si="3" ref="I11:I17">H11/G11^1.5</f>
        <v>2246118.5127784405</v>
      </c>
      <c r="J11" s="2">
        <f aca="true" t="shared" si="4" ref="J11:J18">I11/10^6</f>
        <v>2.2461185127784407</v>
      </c>
      <c r="K11" s="13">
        <f>7*PI()^1.5/16</f>
        <v>2.4361434986138724</v>
      </c>
      <c r="L11" s="22">
        <f aca="true" t="shared" si="5" ref="L11:L17">J11*K11</f>
        <v>5.471867012021458</v>
      </c>
      <c r="M11" s="2">
        <f>L11*10</f>
        <v>54.71867012021458</v>
      </c>
    </row>
    <row r="12" spans="1:13" ht="13.5">
      <c r="A12" t="s">
        <v>24</v>
      </c>
      <c r="B12">
        <v>2700</v>
      </c>
      <c r="C12">
        <v>3520</v>
      </c>
      <c r="D12">
        <f t="shared" si="0"/>
        <v>33454080000</v>
      </c>
      <c r="E12">
        <v>4.8</v>
      </c>
      <c r="F12" s="1">
        <f>6*15</f>
        <v>90</v>
      </c>
      <c r="G12" s="3">
        <f t="shared" si="1"/>
        <v>90000000</v>
      </c>
      <c r="H12" s="3">
        <f t="shared" si="2"/>
        <v>1.445216256E+19</v>
      </c>
      <c r="I12" s="3">
        <f t="shared" si="3"/>
        <v>16926574.372077737</v>
      </c>
      <c r="J12" s="2">
        <f t="shared" si="4"/>
        <v>16.926574372077738</v>
      </c>
      <c r="K12" s="3">
        <v>2.436</v>
      </c>
      <c r="L12" s="22">
        <f t="shared" si="5"/>
        <v>41.23313517038137</v>
      </c>
      <c r="M12" s="2">
        <f aca="true" t="shared" si="6" ref="M12:M18">L12*10</f>
        <v>412.33135170381365</v>
      </c>
    </row>
    <row r="13" spans="1:14" s="4" customFormat="1" ht="13.5">
      <c r="A13" s="4" t="s">
        <v>22</v>
      </c>
      <c r="B13" s="4">
        <v>2800</v>
      </c>
      <c r="C13" s="4">
        <v>3600</v>
      </c>
      <c r="D13" s="4">
        <f t="shared" si="0"/>
        <v>36288000000</v>
      </c>
      <c r="E13" s="4">
        <v>1.04</v>
      </c>
      <c r="F13" s="5">
        <v>351</v>
      </c>
      <c r="G13" s="6">
        <f t="shared" si="1"/>
        <v>351000000</v>
      </c>
      <c r="H13" s="12">
        <f t="shared" si="2"/>
        <v>1.324657152E+19</v>
      </c>
      <c r="I13" s="6">
        <f t="shared" si="3"/>
        <v>2014386.55436339</v>
      </c>
      <c r="J13" s="7">
        <f t="shared" si="4"/>
        <v>2.01438655436339</v>
      </c>
      <c r="K13" s="6">
        <v>2.436</v>
      </c>
      <c r="L13" s="20">
        <f t="shared" si="5"/>
        <v>4.907045646429218</v>
      </c>
      <c r="M13" s="7">
        <f t="shared" si="6"/>
        <v>49.07045646429218</v>
      </c>
      <c r="N13" s="7"/>
    </row>
    <row r="14" spans="1:14" s="17" customFormat="1" ht="13.5">
      <c r="A14" s="17" t="s">
        <v>44</v>
      </c>
      <c r="B14" s="17">
        <v>2800</v>
      </c>
      <c r="C14" s="17">
        <v>3600</v>
      </c>
      <c r="D14" s="17">
        <f t="shared" si="0"/>
        <v>36288000000</v>
      </c>
      <c r="E14" s="17">
        <v>0.7</v>
      </c>
      <c r="F14" s="26">
        <f>18*24</f>
        <v>432</v>
      </c>
      <c r="G14" s="12">
        <f t="shared" si="1"/>
        <v>432000000</v>
      </c>
      <c r="H14" s="12">
        <f t="shared" si="2"/>
        <v>1.09734912E+19</v>
      </c>
      <c r="I14" s="12">
        <f t="shared" si="3"/>
        <v>1222135.0498206</v>
      </c>
      <c r="J14" s="18">
        <f t="shared" si="4"/>
        <v>1.2221350498206</v>
      </c>
      <c r="K14" s="12">
        <v>2.436</v>
      </c>
      <c r="L14" s="25">
        <f t="shared" si="5"/>
        <v>2.9771209813629818</v>
      </c>
      <c r="M14" s="18">
        <f t="shared" si="6"/>
        <v>29.771209813629817</v>
      </c>
      <c r="N14" s="18"/>
    </row>
    <row r="15" spans="1:14" s="8" customFormat="1" ht="13.5">
      <c r="A15" s="8" t="s">
        <v>27</v>
      </c>
      <c r="B15" s="8">
        <v>2800</v>
      </c>
      <c r="C15" s="8">
        <v>3600</v>
      </c>
      <c r="D15" s="8">
        <f t="shared" si="0"/>
        <v>36288000000</v>
      </c>
      <c r="E15" s="8">
        <v>1.08</v>
      </c>
      <c r="F15" s="9">
        <f>18*(5/14)*24*(6/14)</f>
        <v>66.12244897959182</v>
      </c>
      <c r="G15" s="10">
        <f t="shared" si="1"/>
        <v>66122448.97959182</v>
      </c>
      <c r="H15" s="10">
        <f t="shared" si="2"/>
        <v>2.5914075428571423E+18</v>
      </c>
      <c r="I15" s="10">
        <f t="shared" si="3"/>
        <v>4819614.73275199</v>
      </c>
      <c r="J15" s="11">
        <f t="shared" si="4"/>
        <v>4.819614732751989</v>
      </c>
      <c r="K15" s="10">
        <v>2.436</v>
      </c>
      <c r="L15" s="23">
        <f t="shared" si="5"/>
        <v>11.740581488983846</v>
      </c>
      <c r="M15" s="11">
        <f t="shared" si="6"/>
        <v>117.40581488983847</v>
      </c>
      <c r="N15" s="11"/>
    </row>
    <row r="16" spans="1:14" s="8" customFormat="1" ht="13.5">
      <c r="A16" s="8" t="s">
        <v>25</v>
      </c>
      <c r="B16" s="8">
        <v>2800</v>
      </c>
      <c r="C16" s="8">
        <v>3600</v>
      </c>
      <c r="D16" s="8">
        <f t="shared" si="0"/>
        <v>36288000000</v>
      </c>
      <c r="E16" s="8">
        <v>1.46</v>
      </c>
      <c r="F16" s="9">
        <f>18*(4/14)*24*(4/14)</f>
        <v>35.265306122448976</v>
      </c>
      <c r="G16" s="10">
        <f t="shared" si="1"/>
        <v>35265306.12244898</v>
      </c>
      <c r="H16" s="10">
        <f t="shared" si="2"/>
        <v>1.8683728457142858E+18</v>
      </c>
      <c r="I16" s="10">
        <f t="shared" si="3"/>
        <v>8921585.863690382</v>
      </c>
      <c r="J16" s="11">
        <f t="shared" si="4"/>
        <v>8.921585863690382</v>
      </c>
      <c r="K16" s="10">
        <v>2.436</v>
      </c>
      <c r="L16" s="23">
        <f t="shared" si="5"/>
        <v>21.73298316394977</v>
      </c>
      <c r="M16" s="11">
        <f t="shared" si="6"/>
        <v>217.32983163949768</v>
      </c>
      <c r="N16" s="11"/>
    </row>
    <row r="17" spans="1:14" s="8" customFormat="1" ht="13.5">
      <c r="A17" s="8" t="s">
        <v>28</v>
      </c>
      <c r="B17" s="8">
        <v>2800</v>
      </c>
      <c r="C17" s="8">
        <v>3600</v>
      </c>
      <c r="D17" s="8">
        <f t="shared" si="0"/>
        <v>36288000000</v>
      </c>
      <c r="E17" s="8">
        <v>0.55</v>
      </c>
      <c r="F17" s="9">
        <f>18*24-F15-F16</f>
        <v>330.6122448979592</v>
      </c>
      <c r="G17" s="10">
        <f t="shared" si="1"/>
        <v>330612244.89795923</v>
      </c>
      <c r="H17" s="10">
        <f t="shared" si="2"/>
        <v>6.59849142857143E+18</v>
      </c>
      <c r="I17" s="10">
        <f t="shared" si="3"/>
        <v>1097655.998571498</v>
      </c>
      <c r="J17" s="11">
        <f t="shared" si="4"/>
        <v>1.097655998571498</v>
      </c>
      <c r="K17" s="10">
        <v>2.436</v>
      </c>
      <c r="L17" s="23">
        <f t="shared" si="5"/>
        <v>2.673890012520169</v>
      </c>
      <c r="M17" s="11">
        <f t="shared" si="6"/>
        <v>26.73890012520169</v>
      </c>
      <c r="N17" s="11"/>
    </row>
    <row r="18" spans="1:14" s="8" customFormat="1" ht="13.5">
      <c r="A18" s="8" t="s">
        <v>29</v>
      </c>
      <c r="B18" s="8">
        <v>2800</v>
      </c>
      <c r="C18" s="8">
        <v>3600</v>
      </c>
      <c r="D18" s="8">
        <f>B18*C18*C18</f>
        <v>36288000000</v>
      </c>
      <c r="E18" s="8">
        <v>0.55</v>
      </c>
      <c r="F18" s="9">
        <f>18*24/14/14</f>
        <v>2.2040816326530615</v>
      </c>
      <c r="G18" s="10">
        <f t="shared" si="1"/>
        <v>2204081.6326530618</v>
      </c>
      <c r="H18" s="10">
        <f>D18*E18*G18</f>
        <v>43989942857142860</v>
      </c>
      <c r="I18" s="10">
        <f>H18/G18^1.5</f>
        <v>13443485.54802661</v>
      </c>
      <c r="J18" s="11">
        <f t="shared" si="4"/>
        <v>13.44348554802661</v>
      </c>
      <c r="K18" s="10">
        <v>2.436</v>
      </c>
      <c r="L18" s="23">
        <f>J18*K18</f>
        <v>32.74833079499282</v>
      </c>
      <c r="M18" s="11">
        <f t="shared" si="6"/>
        <v>327.4833079499282</v>
      </c>
      <c r="N18" s="11"/>
    </row>
    <row r="19" spans="2:16" ht="13.5">
      <c r="B19" s="14" t="s">
        <v>35</v>
      </c>
      <c r="C19" s="14" t="s">
        <v>36</v>
      </c>
      <c r="D19" s="15" t="s">
        <v>37</v>
      </c>
      <c r="E19" s="16" t="s">
        <v>38</v>
      </c>
      <c r="F19" s="15" t="s">
        <v>31</v>
      </c>
      <c r="G19" s="22" t="s">
        <v>43</v>
      </c>
      <c r="H19" s="1" t="s">
        <v>33</v>
      </c>
      <c r="I19" s="15" t="s">
        <v>34</v>
      </c>
      <c r="J19" s="1" t="s">
        <v>32</v>
      </c>
      <c r="K19" s="16" t="s">
        <v>40</v>
      </c>
      <c r="L19" s="24" t="s">
        <v>39</v>
      </c>
      <c r="M19" s="16" t="s">
        <v>41</v>
      </c>
      <c r="N19" t="s">
        <v>6</v>
      </c>
      <c r="O19" t="s">
        <v>1</v>
      </c>
      <c r="P19" t="s">
        <v>42</v>
      </c>
    </row>
    <row r="20" spans="1:16" s="4" customFormat="1" ht="13.5">
      <c r="A20" s="4" t="s">
        <v>30</v>
      </c>
      <c r="B20" s="17">
        <v>18</v>
      </c>
      <c r="C20" s="17">
        <v>24</v>
      </c>
      <c r="D20" s="17">
        <f>B20*C20</f>
        <v>432</v>
      </c>
      <c r="E20" s="21">
        <v>2.3</v>
      </c>
      <c r="F20" s="12">
        <f>(E20*1000*1000)*(D20*1000*1000)^1.5/2.436</f>
        <v>8.477663460100671E+18</v>
      </c>
      <c r="G20" s="20">
        <f>(LOG10(F20)-9.1)/1.5</f>
        <v>6.552184114852749</v>
      </c>
      <c r="H20" s="6">
        <f>(D20/2.23*10^15)^1.5</f>
        <v>8.5264514920454E+25</v>
      </c>
      <c r="I20" s="12">
        <f>D20*0.215</f>
        <v>92.88</v>
      </c>
      <c r="J20" s="6">
        <f>5*10^(-16)*H20^(2/3)</f>
        <v>96.86098654708516</v>
      </c>
      <c r="K20" s="18">
        <f>D20*0.15</f>
        <v>64.8</v>
      </c>
      <c r="L20" s="25">
        <f>I20-K20</f>
        <v>28.08</v>
      </c>
      <c r="M20" s="18">
        <f>E20*D20/I20</f>
        <v>10.69767441860465</v>
      </c>
      <c r="N20" s="6">
        <v>36288000000</v>
      </c>
      <c r="O20" s="20">
        <f>F20/(D20*1000*1000)/N20</f>
        <v>0.5407909218599883</v>
      </c>
      <c r="P20" s="19">
        <f>O20*2</f>
        <v>1.0815818437199767</v>
      </c>
    </row>
    <row r="21" spans="1:16" s="4" customFormat="1" ht="13.5">
      <c r="A21" s="4" t="s">
        <v>30</v>
      </c>
      <c r="B21" s="17">
        <v>18</v>
      </c>
      <c r="C21" s="17">
        <v>24</v>
      </c>
      <c r="D21" s="17">
        <f>B21*C21</f>
        <v>432</v>
      </c>
      <c r="E21" s="21">
        <v>3</v>
      </c>
      <c r="F21" s="12">
        <f>(E21*1000*1000)*(D21*1000*1000)^1.5/2.436</f>
        <v>1.1057821904479136E+19</v>
      </c>
      <c r="G21" s="20">
        <f>(LOG10(F21)-9.1)/1.5</f>
        <v>6.629113060654128</v>
      </c>
      <c r="H21" s="6">
        <f>(D21/2.23*10^15)^1.5</f>
        <v>8.5264514920454E+25</v>
      </c>
      <c r="I21" s="12">
        <f>D21*0.215</f>
        <v>92.88</v>
      </c>
      <c r="J21" s="6">
        <f>5*10^(-16)*H21^(2/3)</f>
        <v>96.86098654708516</v>
      </c>
      <c r="K21" s="18">
        <f>D21*0.15</f>
        <v>64.8</v>
      </c>
      <c r="L21" s="25">
        <f>I21-K21</f>
        <v>28.08</v>
      </c>
      <c r="M21" s="18">
        <f>E21*D21/I21</f>
        <v>13.953488372093023</v>
      </c>
      <c r="N21" s="6">
        <v>36288000000</v>
      </c>
      <c r="O21" s="20">
        <f>F21/(D21*1000*1000)/N21</f>
        <v>0.7053794632956369</v>
      </c>
      <c r="P21" s="19">
        <f>O21*2</f>
        <v>1.4107589265912739</v>
      </c>
    </row>
    <row r="24" ht="13.5">
      <c r="F24" s="22">
        <f>(E15*F15+E16*F16)/101</f>
        <v>1.216827641947868</v>
      </c>
    </row>
    <row r="25" spans="6:9" ht="13.5">
      <c r="F25" s="22">
        <f>F15+F16</f>
        <v>101.3877551020408</v>
      </c>
      <c r="G25" s="27">
        <f>0.55*F26/F28/F24</f>
        <v>0.2503034923002225</v>
      </c>
      <c r="H25" s="1">
        <v>107</v>
      </c>
      <c r="I25" s="1">
        <f>G25*H25</f>
        <v>26.782473676123804</v>
      </c>
    </row>
    <row r="26" ht="13.5">
      <c r="F26" s="22">
        <f>SQRT(F25)</f>
        <v>10.069148678117768</v>
      </c>
    </row>
    <row r="27" spans="6:7" ht="13.5">
      <c r="F27" s="22">
        <f>F17</f>
        <v>330.6122448979592</v>
      </c>
      <c r="G27" s="27">
        <f>F25/F27</f>
        <v>0.3066666666666666</v>
      </c>
    </row>
    <row r="28" ht="13.5">
      <c r="F28" s="22">
        <f>SQRT(F27)</f>
        <v>18.182745801939795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2007-02-05T11:49:39Z</dcterms:created>
  <dcterms:modified xsi:type="dcterms:W3CDTF">2007-02-14T08:04:48Z</dcterms:modified>
  <cp:category/>
  <cp:version/>
  <cp:contentType/>
  <cp:contentStatus/>
</cp:coreProperties>
</file>