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930" windowWidth="17130" windowHeight="9150" activeTab="2"/>
  </bookViews>
  <sheets>
    <sheet name="1923特性化" sheetId="1" r:id="rId1"/>
    <sheet name="1923波形合成" sheetId="2" r:id="rId2"/>
    <sheet name="関東地震 重ね合わせ数" sheetId="3" r:id="rId3"/>
    <sheet name="2003十勝沖レシピ" sheetId="4" r:id="rId4"/>
  </sheets>
  <definedNames/>
  <calcPr fullCalcOnLoad="1"/>
</workbook>
</file>

<file path=xl/sharedStrings.xml><?xml version="1.0" encoding="utf-8"?>
<sst xmlns="http://schemas.openxmlformats.org/spreadsheetml/2006/main" count="231" uniqueCount="115">
  <si>
    <t>全アスペリティ</t>
  </si>
  <si>
    <t>地震モーメント</t>
  </si>
  <si>
    <t>地震モーメント</t>
  </si>
  <si>
    <t>面積</t>
  </si>
  <si>
    <t>平均すべり量</t>
  </si>
  <si>
    <t>実効応力</t>
  </si>
  <si>
    <t>短周期レベル</t>
  </si>
  <si>
    <t>S波速度</t>
  </si>
  <si>
    <t>cm</t>
  </si>
  <si>
    <t>Nm</t>
  </si>
  <si>
    <t>Nm</t>
  </si>
  <si>
    <t>km/s</t>
  </si>
  <si>
    <t>断層面積</t>
  </si>
  <si>
    <t>R=</t>
  </si>
  <si>
    <t>km</t>
  </si>
  <si>
    <t>r=</t>
  </si>
  <si>
    <t>剛性率</t>
  </si>
  <si>
    <t>静的応力降下量</t>
  </si>
  <si>
    <t>MPa</t>
  </si>
  <si>
    <t>第1アスペリティ</t>
  </si>
  <si>
    <t>gi=</t>
  </si>
  <si>
    <t>第2アスペリティ</t>
  </si>
  <si>
    <t>第3アスペリティ</t>
  </si>
  <si>
    <t>背景領域</t>
  </si>
  <si>
    <t>Wb=</t>
  </si>
  <si>
    <t>推本・2003十勝沖の特性化</t>
  </si>
  <si>
    <t>第１～第３アスペリティの短周期レベルから逆算すると(1.08e20Nm/s2)となり、全てが説明できた。</t>
  </si>
  <si>
    <t>巨視的</t>
  </si>
  <si>
    <t>注１: 全アスペリティの短周期レベルは元々は(9.34e19Nm/s2)。この値を入れると全アスペリティの面積が再現できなかった</t>
  </si>
  <si>
    <t>注２:背景領域のWbは(S/2)^0.5を使用（レシピのアスペクト比が２の場合）</t>
  </si>
  <si>
    <r>
      <t>N/m</t>
    </r>
    <r>
      <rPr>
        <vertAlign val="superscript"/>
        <sz val="11"/>
        <rFont val="ＭＳ Ｐゴシック"/>
        <family val="3"/>
      </rPr>
      <t>2</t>
    </r>
  </si>
  <si>
    <r>
      <t>km</t>
    </r>
    <r>
      <rPr>
        <vertAlign val="superscript"/>
        <sz val="11"/>
        <rFont val="ＭＳ Ｐゴシック"/>
        <family val="3"/>
      </rPr>
      <t>2</t>
    </r>
  </si>
  <si>
    <r>
      <t>Nm/s</t>
    </r>
    <r>
      <rPr>
        <vertAlign val="superscript"/>
        <sz val="11"/>
        <rFont val="ＭＳ Ｐゴシック"/>
        <family val="3"/>
      </rPr>
      <t>2</t>
    </r>
  </si>
  <si>
    <t>壇(2001)　Ａ=</t>
  </si>
  <si>
    <t>(Nm/s2)</t>
  </si>
  <si>
    <t>Aのチェック</t>
  </si>
  <si>
    <t>↑</t>
  </si>
  <si>
    <t>2乗和平方根</t>
  </si>
  <si>
    <t>294°</t>
  </si>
  <si>
    <t>16°</t>
  </si>
  <si>
    <t>項　目</t>
  </si>
  <si>
    <t>値</t>
  </si>
  <si>
    <t>単位</t>
  </si>
  <si>
    <t>断層パラメータ</t>
  </si>
  <si>
    <t>微視的</t>
  </si>
  <si>
    <t>巨視的</t>
  </si>
  <si>
    <r>
      <rPr>
        <sz val="9"/>
        <rFont val="ＭＳ Ｐゴシック"/>
        <family val="3"/>
      </rPr>
      <t>壇</t>
    </r>
    <r>
      <rPr>
        <sz val="9"/>
        <rFont val="Arial"/>
        <family val="2"/>
      </rPr>
      <t>(2001)</t>
    </r>
    <r>
      <rPr>
        <sz val="9"/>
        <rFont val="ＭＳ Ｐゴシック"/>
        <family val="3"/>
      </rPr>
      <t>　Ａ</t>
    </r>
    <r>
      <rPr>
        <sz val="9"/>
        <rFont val="Arial"/>
        <family val="2"/>
      </rPr>
      <t>=</t>
    </r>
  </si>
  <si>
    <r>
      <rPr>
        <sz val="9"/>
        <rFont val="ＭＳ Ｐゴシック"/>
        <family val="3"/>
      </rPr>
      <t>走向</t>
    </r>
  </si>
  <si>
    <r>
      <rPr>
        <sz val="9"/>
        <rFont val="ＭＳ Ｐゴシック"/>
        <family val="3"/>
      </rPr>
      <t>傾斜角</t>
    </r>
  </si>
  <si>
    <r>
      <rPr>
        <sz val="9"/>
        <rFont val="ＭＳ Ｐゴシック"/>
        <family val="3"/>
      </rPr>
      <t>破壊伝播速度</t>
    </r>
  </si>
  <si>
    <r>
      <rPr>
        <sz val="9"/>
        <rFont val="ＭＳ Ｐゴシック"/>
        <family val="3"/>
      </rPr>
      <t>破壊伝播形式</t>
    </r>
  </si>
  <si>
    <r>
      <rPr>
        <sz val="9"/>
        <rFont val="ＭＳ Ｐゴシック"/>
        <family val="3"/>
      </rPr>
      <t>同心円状</t>
    </r>
  </si>
  <si>
    <r>
      <rPr>
        <sz val="9"/>
        <rFont val="ＭＳ Ｐゴシック"/>
        <family val="3"/>
      </rPr>
      <t>静的応力降下量</t>
    </r>
  </si>
  <si>
    <r>
      <rPr>
        <sz val="9"/>
        <rFont val="ＭＳ Ｐゴシック"/>
        <family val="3"/>
      </rPr>
      <t>剛性率</t>
    </r>
  </si>
  <si>
    <r>
      <t>N/m</t>
    </r>
    <r>
      <rPr>
        <vertAlign val="superscript"/>
        <sz val="9"/>
        <rFont val="Arial"/>
        <family val="2"/>
      </rPr>
      <t>2</t>
    </r>
  </si>
  <si>
    <r>
      <rPr>
        <sz val="9"/>
        <rFont val="ＭＳ Ｐゴシック"/>
        <family val="3"/>
      </rPr>
      <t>断層面積</t>
    </r>
  </si>
  <si>
    <r>
      <t>km</t>
    </r>
    <r>
      <rPr>
        <vertAlign val="superscript"/>
        <sz val="9"/>
        <rFont val="Arial"/>
        <family val="2"/>
      </rPr>
      <t>2</t>
    </r>
  </si>
  <si>
    <r>
      <rPr>
        <sz val="9"/>
        <rFont val="ＭＳ Ｐゴシック"/>
        <family val="3"/>
      </rPr>
      <t>地震モーメント</t>
    </r>
  </si>
  <si>
    <r>
      <rPr>
        <sz val="9"/>
        <rFont val="ＭＳ Ｐゴシック"/>
        <family val="3"/>
      </rPr>
      <t>平均すべり量</t>
    </r>
  </si>
  <si>
    <r>
      <t>S</t>
    </r>
    <r>
      <rPr>
        <sz val="9"/>
        <rFont val="ＭＳ Ｐゴシック"/>
        <family val="3"/>
      </rPr>
      <t>波速度</t>
    </r>
  </si>
  <si>
    <r>
      <rPr>
        <sz val="9"/>
        <rFont val="ＭＳ Ｐゴシック"/>
        <family val="3"/>
      </rPr>
      <t>全アスペリティ</t>
    </r>
  </si>
  <si>
    <r>
      <rPr>
        <sz val="9"/>
        <rFont val="ＭＳ Ｐゴシック"/>
        <family val="3"/>
      </rPr>
      <t>地震モーメント</t>
    </r>
  </si>
  <si>
    <r>
      <rPr>
        <sz val="9"/>
        <rFont val="ＭＳ Ｐゴシック"/>
        <family val="3"/>
      </rPr>
      <t>面積</t>
    </r>
  </si>
  <si>
    <r>
      <rPr>
        <sz val="9"/>
        <rFont val="ＭＳ Ｐゴシック"/>
        <family val="3"/>
      </rPr>
      <t>実効応力</t>
    </r>
  </si>
  <si>
    <r>
      <rPr>
        <sz val="9"/>
        <rFont val="ＭＳ Ｐゴシック"/>
        <family val="3"/>
      </rPr>
      <t>短周期レベル</t>
    </r>
  </si>
  <si>
    <r>
      <t>Nm/s</t>
    </r>
    <r>
      <rPr>
        <vertAlign val="superscript"/>
        <sz val="9"/>
        <rFont val="Arial"/>
        <family val="2"/>
      </rPr>
      <t>2</t>
    </r>
  </si>
  <si>
    <r>
      <rPr>
        <sz val="9"/>
        <rFont val="ＭＳ Ｐゴシック"/>
        <family val="3"/>
      </rPr>
      <t>背景領域</t>
    </r>
  </si>
  <si>
    <r>
      <t>1923</t>
    </r>
    <r>
      <rPr>
        <b/>
        <sz val="9"/>
        <color indexed="10"/>
        <rFont val="ＭＳ Ｐゴシック"/>
        <family val="3"/>
      </rPr>
      <t>年関東地震の特性化震源モデル</t>
    </r>
  </si>
  <si>
    <t>A(Asp1+2)=</t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</si>
  <si>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2</t>
    </r>
    <r>
      <rPr>
        <sz val="9"/>
        <rFont val="ＭＳ Ｐゴシック"/>
        <family val="3"/>
      </rPr>
      <t xml:space="preserve">アスペリティ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小田原付近</t>
    </r>
    <r>
      <rPr>
        <sz val="9"/>
        <rFont val="Arial"/>
        <family val="2"/>
      </rPr>
      <t>)</t>
    </r>
  </si>
  <si>
    <r>
      <rPr>
        <sz val="9"/>
        <rFont val="ＭＳ Ｐゴシック"/>
        <family val="3"/>
      </rPr>
      <t>第</t>
    </r>
    <r>
      <rPr>
        <sz val="9"/>
        <rFont val="Arial"/>
        <family val="2"/>
      </rPr>
      <t>1</t>
    </r>
    <r>
      <rPr>
        <sz val="9"/>
        <rFont val="ＭＳ Ｐゴシック"/>
        <family val="3"/>
      </rPr>
      <t xml:space="preserve">アスペリティ
</t>
    </r>
    <r>
      <rPr>
        <sz val="9"/>
        <rFont val="Arial"/>
        <family val="2"/>
      </rPr>
      <t>(</t>
    </r>
    <r>
      <rPr>
        <sz val="9"/>
        <rFont val="ＭＳ Ｐゴシック"/>
        <family val="3"/>
      </rPr>
      <t>三浦半島付近</t>
    </r>
    <r>
      <rPr>
        <sz val="9"/>
        <rFont val="Arial"/>
        <family val="2"/>
      </rPr>
      <t>)</t>
    </r>
  </si>
  <si>
    <t>Ds(bar)=</t>
  </si>
  <si>
    <t>Vs(km/s)=</t>
  </si>
  <si>
    <t>Mo(dyne.cm)=</t>
  </si>
  <si>
    <t>Mj=</t>
  </si>
  <si>
    <t>fc(Hz)=</t>
  </si>
  <si>
    <t>1/fc(s)=</t>
  </si>
  <si>
    <t>【要素地震】</t>
  </si>
  <si>
    <r>
      <t>1923</t>
    </r>
    <r>
      <rPr>
        <b/>
        <sz val="11"/>
        <color indexed="10"/>
        <rFont val="ＭＳ Ｐゴシック"/>
        <family val="3"/>
      </rPr>
      <t>年関東地震　特性化震源モデル　重ね合わせ数</t>
    </r>
  </si>
  <si>
    <r>
      <rPr>
        <sz val="11"/>
        <rFont val="ＭＳ Ｐゴシック"/>
        <family val="3"/>
      </rPr>
      <t xml:space="preserve">地震モーメント
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 xml:space="preserve">0e
</t>
    </r>
    <r>
      <rPr>
        <sz val="11"/>
        <rFont val="Arial"/>
        <family val="2"/>
      </rPr>
      <t>(N.m)</t>
    </r>
  </si>
  <si>
    <r>
      <rPr>
        <sz val="11"/>
        <rFont val="ＭＳ Ｐゴシック"/>
        <family val="3"/>
      </rPr>
      <t xml:space="preserve">応力降下量
</t>
    </r>
    <r>
      <rPr>
        <sz val="11"/>
        <rFont val="Symbol"/>
        <family val="1"/>
      </rPr>
      <t>Ds</t>
    </r>
    <r>
      <rPr>
        <vertAlign val="subscript"/>
        <sz val="11"/>
        <rFont val="Arial"/>
        <family val="2"/>
      </rPr>
      <t xml:space="preserve">e
</t>
    </r>
    <r>
      <rPr>
        <sz val="11"/>
        <rFont val="Arial"/>
        <family val="2"/>
      </rPr>
      <t>(MPa)</t>
    </r>
  </si>
  <si>
    <r>
      <rPr>
        <sz val="11"/>
        <rFont val="ＭＳ Ｐゴシック"/>
        <family val="3"/>
      </rPr>
      <t>対象断面</t>
    </r>
  </si>
  <si>
    <r>
      <rPr>
        <sz val="11"/>
        <rFont val="ＭＳ Ｐゴシック"/>
        <family val="3"/>
      </rPr>
      <t>地震モーメント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(Nm)</t>
    </r>
  </si>
  <si>
    <r>
      <rPr>
        <sz val="11"/>
        <rFont val="ＭＳ Ｐゴシック"/>
        <family val="3"/>
      </rPr>
      <t>応力降下量</t>
    </r>
    <r>
      <rPr>
        <sz val="11"/>
        <rFont val="Symbol"/>
        <family val="1"/>
      </rPr>
      <t>Ds</t>
    </r>
    <r>
      <rPr>
        <sz val="11"/>
        <rFont val="Arial"/>
        <family val="2"/>
      </rPr>
      <t>(MPa)</t>
    </r>
  </si>
  <si>
    <r>
      <rPr>
        <sz val="11"/>
        <rFont val="ＭＳ Ｐゴシック"/>
        <family val="3"/>
      </rPr>
      <t>応力降下量の比</t>
    </r>
    <r>
      <rPr>
        <sz val="11"/>
        <rFont val="Arial"/>
        <family val="2"/>
      </rPr>
      <t>C</t>
    </r>
    <r>
      <rPr>
        <vertAlign val="superscript"/>
        <sz val="11"/>
        <rFont val="Arial"/>
        <family val="2"/>
      </rPr>
      <t>*1</t>
    </r>
  </si>
  <si>
    <r>
      <rPr>
        <sz val="11"/>
        <rFont val="ＭＳ Ｐゴシック"/>
        <family val="3"/>
      </rPr>
      <t>重ね
合わせ数</t>
    </r>
    <r>
      <rPr>
        <sz val="11"/>
        <rFont val="Arial"/>
        <family val="2"/>
      </rPr>
      <t>n</t>
    </r>
    <r>
      <rPr>
        <vertAlign val="superscript"/>
        <sz val="11"/>
        <rFont val="Arial"/>
        <family val="2"/>
      </rPr>
      <t>*2</t>
    </r>
  </si>
  <si>
    <r>
      <rPr>
        <sz val="11"/>
        <rFont val="ＭＳ Ｐゴシック"/>
        <family val="3"/>
      </rPr>
      <t>合成に用いる
重ね合わせ数</t>
    </r>
  </si>
  <si>
    <r>
      <rPr>
        <sz val="11"/>
        <rFont val="ＭＳ Ｐゴシック"/>
        <family val="3"/>
      </rPr>
      <t>合成後の地震モーメント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'
(dyne.cm)</t>
    </r>
    <r>
      <rPr>
        <vertAlign val="superscript"/>
        <sz val="11"/>
        <rFont val="Arial"/>
        <family val="2"/>
      </rPr>
      <t>*3</t>
    </r>
  </si>
  <si>
    <r>
      <t>M</t>
    </r>
    <r>
      <rPr>
        <vertAlign val="subscript"/>
        <sz val="11"/>
        <rFont val="Arial"/>
        <family val="2"/>
      </rPr>
      <t>0</t>
    </r>
    <r>
      <rPr>
        <sz val="11"/>
        <rFont val="ＭＳ Ｐゴシック"/>
        <family val="3"/>
      </rPr>
      <t>に対する</t>
    </r>
    <r>
      <rPr>
        <sz val="11"/>
        <rFont val="Arial"/>
        <family val="2"/>
      </rPr>
      <t>M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'</t>
    </r>
    <r>
      <rPr>
        <sz val="11"/>
        <rFont val="ＭＳ Ｐゴシック"/>
        <family val="3"/>
      </rPr>
      <t xml:space="preserve">の比
</t>
    </r>
    <r>
      <rPr>
        <sz val="11"/>
        <rFont val="Arial"/>
        <family val="2"/>
      </rPr>
      <t>b</t>
    </r>
    <r>
      <rPr>
        <vertAlign val="superscript"/>
        <sz val="11"/>
        <rFont val="Arial"/>
        <family val="2"/>
      </rPr>
      <t>*4</t>
    </r>
  </si>
  <si>
    <r>
      <t>n</t>
    </r>
    <r>
      <rPr>
        <vertAlign val="subscript"/>
        <sz val="11"/>
        <rFont val="Arial"/>
        <family val="2"/>
      </rPr>
      <t>L</t>
    </r>
  </si>
  <si>
    <r>
      <t>n</t>
    </r>
    <r>
      <rPr>
        <vertAlign val="subscript"/>
        <sz val="11"/>
        <rFont val="Arial"/>
        <family val="2"/>
      </rPr>
      <t>W</t>
    </r>
  </si>
  <si>
    <r>
      <t>n</t>
    </r>
    <r>
      <rPr>
        <vertAlign val="subscript"/>
        <sz val="11"/>
        <rFont val="Arial"/>
        <family val="2"/>
      </rPr>
      <t>D</t>
    </r>
  </si>
  <si>
    <r>
      <rPr>
        <sz val="11"/>
        <rFont val="ＭＳ Ｐゴシック"/>
        <family val="3"/>
      </rPr>
      <t>第</t>
    </r>
    <r>
      <rPr>
        <sz val="11"/>
        <rFont val="Arial"/>
        <family val="2"/>
      </rPr>
      <t>1</t>
    </r>
    <r>
      <rPr>
        <sz val="11"/>
        <rFont val="ＭＳ Ｐゴシック"/>
        <family val="3"/>
      </rPr>
      <t>アスペリティ</t>
    </r>
  </si>
  <si>
    <r>
      <rPr>
        <sz val="11"/>
        <rFont val="ＭＳ Ｐゴシック"/>
        <family val="3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アスペリティ</t>
    </r>
  </si>
  <si>
    <r>
      <rPr>
        <sz val="11"/>
        <rFont val="ＭＳ Ｐゴシック"/>
        <family val="3"/>
      </rPr>
      <t>背景領域</t>
    </r>
  </si>
  <si>
    <t>*6</t>
  </si>
  <si>
    <r>
      <rPr>
        <sz val="11"/>
        <rFont val="ＭＳ Ｐゴシック"/>
        <family val="3"/>
      </rPr>
      <t>断層全体</t>
    </r>
  </si>
  <si>
    <t>*1</t>
  </si>
  <si>
    <r>
      <t>C=</t>
    </r>
    <r>
      <rPr>
        <sz val="11"/>
        <rFont val="Symbol"/>
        <family val="1"/>
      </rPr>
      <t>Ds/Ds</t>
    </r>
    <r>
      <rPr>
        <sz val="11"/>
        <rFont val="Arial"/>
        <family val="2"/>
      </rPr>
      <t>e</t>
    </r>
  </si>
  <si>
    <t>*3</t>
  </si>
  <si>
    <r>
      <t>M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'=(n</t>
    </r>
    <r>
      <rPr>
        <vertAlign val="subscript"/>
        <sz val="11"/>
        <rFont val="Arial"/>
        <family val="2"/>
      </rPr>
      <t>L</t>
    </r>
    <r>
      <rPr>
        <sz val="11"/>
        <rFont val="Arial"/>
        <family val="2"/>
      </rPr>
      <t>*n</t>
    </r>
    <r>
      <rPr>
        <vertAlign val="subscript"/>
        <sz val="11"/>
        <rFont val="Arial"/>
        <family val="2"/>
      </rPr>
      <t>W</t>
    </r>
    <r>
      <rPr>
        <sz val="11"/>
        <rFont val="Arial"/>
        <family val="2"/>
      </rPr>
      <t>*n</t>
    </r>
    <r>
      <rPr>
        <vertAlign val="subscript"/>
        <sz val="11"/>
        <rFont val="Arial"/>
        <family val="2"/>
      </rPr>
      <t>D</t>
    </r>
    <r>
      <rPr>
        <sz val="11"/>
        <rFont val="Arial"/>
        <family val="2"/>
      </rPr>
      <t>)*(C*M</t>
    </r>
    <r>
      <rPr>
        <vertAlign val="subscript"/>
        <sz val="11"/>
        <rFont val="Arial"/>
        <family val="2"/>
      </rPr>
      <t>0e</t>
    </r>
    <r>
      <rPr>
        <sz val="11"/>
        <rFont val="Arial"/>
        <family val="2"/>
      </rPr>
      <t>)</t>
    </r>
  </si>
  <si>
    <t>*5</t>
  </si>
  <si>
    <t>10*7-(2*5+2*3)=54</t>
  </si>
  <si>
    <t>*2</t>
  </si>
  <si>
    <r>
      <t>n=(M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/(C*M</t>
    </r>
    <r>
      <rPr>
        <vertAlign val="subscript"/>
        <sz val="11"/>
        <rFont val="Arial"/>
        <family val="2"/>
      </rPr>
      <t>0e</t>
    </r>
    <r>
      <rPr>
        <sz val="11"/>
        <rFont val="Arial"/>
        <family val="2"/>
      </rPr>
      <t>))</t>
    </r>
    <r>
      <rPr>
        <vertAlign val="superscript"/>
        <sz val="11"/>
        <rFont val="Arial"/>
        <family val="2"/>
      </rPr>
      <t>(1/3)</t>
    </r>
  </si>
  <si>
    <t>*4</t>
  </si>
  <si>
    <r>
      <t>b=M</t>
    </r>
    <r>
      <rPr>
        <vertAlign val="subscript"/>
        <sz val="11"/>
        <rFont val="Arial"/>
        <family val="2"/>
      </rPr>
      <t>0</t>
    </r>
    <r>
      <rPr>
        <sz val="11"/>
        <rFont val="Arial"/>
        <family val="2"/>
      </rPr>
      <t>'/M</t>
    </r>
    <r>
      <rPr>
        <vertAlign val="subscript"/>
        <sz val="11"/>
        <rFont val="Arial"/>
        <family val="2"/>
      </rPr>
      <t>0</t>
    </r>
  </si>
  <si>
    <r>
      <rPr>
        <sz val="11"/>
        <rFont val="ＭＳ Ｐゴシック"/>
        <family val="3"/>
      </rPr>
      <t>要素地震</t>
    </r>
  </si>
  <si>
    <r>
      <rPr>
        <sz val="11"/>
        <rFont val="ＭＳ Ｐゴシック"/>
        <family val="3"/>
      </rPr>
      <t>円形クラックモデル</t>
    </r>
  </si>
  <si>
    <t>(km)</t>
  </si>
  <si>
    <t>S=</t>
  </si>
  <si>
    <r>
      <t>(km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</t>
    </r>
  </si>
  <si>
    <t>L=W=</t>
  </si>
  <si>
    <r>
      <t>Ds=(7/16)(M</t>
    </r>
    <r>
      <rPr>
        <vertAlign val="subscript"/>
        <sz val="11"/>
        <rFont val="Arial"/>
        <family val="2"/>
      </rPr>
      <t>o</t>
    </r>
    <r>
      <rPr>
        <sz val="11"/>
        <rFont val="Arial"/>
        <family val="2"/>
      </rPr>
      <t>/R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)</t>
    </r>
  </si>
  <si>
    <r>
      <t>R=(7/16)^</t>
    </r>
    <r>
      <rPr>
        <vertAlign val="superscript"/>
        <sz val="11"/>
        <rFont val="Arial"/>
        <family val="2"/>
      </rPr>
      <t>1/3</t>
    </r>
    <r>
      <rPr>
        <sz val="11"/>
        <rFont val="Arial"/>
        <family val="2"/>
      </rPr>
      <t>(M</t>
    </r>
    <r>
      <rPr>
        <vertAlign val="subscript"/>
        <sz val="11"/>
        <rFont val="Arial"/>
        <family val="2"/>
      </rPr>
      <t>o</t>
    </r>
    <r>
      <rPr>
        <sz val="11"/>
        <rFont val="Arial"/>
        <family val="2"/>
      </rPr>
      <t>/Ds)^</t>
    </r>
    <r>
      <rPr>
        <vertAlign val="superscript"/>
        <sz val="11"/>
        <rFont val="Arial"/>
        <family val="2"/>
      </rPr>
      <t>(1/3)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</si>
</sst>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E+00"/>
    <numFmt numFmtId="179" formatCode="0.0000_ "/>
    <numFmt numFmtId="180" formatCode="0.0_ "/>
    <numFmt numFmtId="181" formatCode="0.0E+00"/>
    <numFmt numFmtId="182" formatCode="0.0_);[Red]\(0.0\)"/>
    <numFmt numFmtId="183" formatCode="0.00_);[Red]\(0.00\)"/>
    <numFmt numFmtId="184" formatCode="0.000E+00"/>
    <numFmt numFmtId="185" formatCode="0.0000000_ "/>
    <numFmt numFmtId="186" formatCode="0.000000_ "/>
    <numFmt numFmtId="187" formatCode="0.00000_ "/>
    <numFmt numFmtId="188" formatCode="0_ 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10"/>
      <name val="Arial"/>
      <family val="2"/>
    </font>
    <font>
      <sz val="10"/>
      <name val="ＭＳ Ｐゴシック"/>
      <family val="3"/>
    </font>
    <font>
      <vertAlign val="superscript"/>
      <sz val="11"/>
      <name val="ＭＳ Ｐゴシック"/>
      <family val="3"/>
    </font>
    <font>
      <b/>
      <sz val="9"/>
      <color indexed="10"/>
      <name val="ＭＳ Ｐゴシック"/>
      <family val="3"/>
    </font>
    <font>
      <sz val="9"/>
      <name val="ＭＳ Ｐゴシック"/>
      <family val="3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color indexed="10"/>
      <name val="ＭＳ Ｐゴシック"/>
      <family val="3"/>
    </font>
    <font>
      <sz val="11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vertAlign val="subscript"/>
      <sz val="11"/>
      <name val="Arial"/>
      <family val="2"/>
    </font>
    <font>
      <sz val="11"/>
      <name val="Symbol"/>
      <family val="1"/>
    </font>
    <font>
      <vertAlign val="superscript"/>
      <sz val="11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/>
      <protection/>
    </xf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11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11" fontId="0" fillId="0" borderId="10" xfId="0" applyNumberFormat="1" applyBorder="1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1" fontId="3" fillId="0" borderId="0" xfId="0" applyNumberFormat="1" applyFont="1" applyAlignment="1">
      <alignment horizontal="right" vertical="center"/>
    </xf>
    <xf numFmtId="0" fontId="0" fillId="0" borderId="0" xfId="0" applyAlignment="1">
      <alignment horizontal="center" vertical="center"/>
    </xf>
    <xf numFmtId="181" fontId="7" fillId="0" borderId="0" xfId="0" applyNumberFormat="1" applyFont="1" applyAlignment="1">
      <alignment vertical="center"/>
    </xf>
    <xf numFmtId="11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11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180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vertical="center"/>
    </xf>
    <xf numFmtId="0" fontId="7" fillId="33" borderId="14" xfId="0" applyFont="1" applyFill="1" applyBorder="1" applyAlignment="1">
      <alignment horizontal="right" vertical="center"/>
    </xf>
    <xf numFmtId="180" fontId="7" fillId="33" borderId="14" xfId="0" applyNumberFormat="1" applyFont="1" applyFill="1" applyBorder="1" applyAlignment="1">
      <alignment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11" fontId="7" fillId="33" borderId="14" xfId="0" applyNumberFormat="1" applyFont="1" applyFill="1" applyBorder="1" applyAlignment="1">
      <alignment vertical="center"/>
    </xf>
    <xf numFmtId="0" fontId="7" fillId="33" borderId="15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188" fontId="7" fillId="33" borderId="14" xfId="0" applyNumberFormat="1" applyFont="1" applyFill="1" applyBorder="1" applyAlignment="1">
      <alignment vertical="center"/>
    </xf>
    <xf numFmtId="11" fontId="7" fillId="33" borderId="16" xfId="0" applyNumberFormat="1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1" fontId="10" fillId="0" borderId="0" xfId="0" applyNumberFormat="1" applyFont="1" applyAlignment="1">
      <alignment vertical="center"/>
    </xf>
    <xf numFmtId="180" fontId="10" fillId="0" borderId="0" xfId="0" applyNumberFormat="1" applyFont="1" applyAlignment="1">
      <alignment vertical="center"/>
    </xf>
    <xf numFmtId="0" fontId="54" fillId="0" borderId="0" xfId="0" applyFont="1" applyAlignment="1">
      <alignment horizontal="right" vertical="center"/>
    </xf>
    <xf numFmtId="177" fontId="10" fillId="0" borderId="0" xfId="0" applyNumberFormat="1" applyFont="1" applyAlignment="1">
      <alignment horizontal="left" vertical="center"/>
    </xf>
    <xf numFmtId="177" fontId="54" fillId="0" borderId="0" xfId="0" applyNumberFormat="1" applyFont="1" applyAlignment="1">
      <alignment horizontal="left" vertical="center"/>
    </xf>
    <xf numFmtId="178" fontId="7" fillId="33" borderId="14" xfId="0" applyNumberFormat="1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56" fillId="34" borderId="0" xfId="60" applyFont="1" applyFill="1" applyAlignment="1">
      <alignment vertical="center"/>
      <protection/>
    </xf>
    <xf numFmtId="0" fontId="10" fillId="34" borderId="0" xfId="60" applyFont="1" applyFill="1">
      <alignment/>
      <protection/>
    </xf>
    <xf numFmtId="0" fontId="10" fillId="0" borderId="0" xfId="60" applyFont="1">
      <alignment/>
      <protection/>
    </xf>
    <xf numFmtId="0" fontId="10" fillId="34" borderId="22" xfId="60" applyFont="1" applyFill="1" applyBorder="1" applyAlignment="1">
      <alignment horizontal="center" vertical="center" wrapText="1"/>
      <protection/>
    </xf>
    <xf numFmtId="0" fontId="10" fillId="34" borderId="18" xfId="60" applyFont="1" applyFill="1" applyBorder="1" applyAlignment="1">
      <alignment horizontal="center" vertical="center" wrapText="1"/>
      <protection/>
    </xf>
    <xf numFmtId="0" fontId="10" fillId="34" borderId="23" xfId="60" applyFont="1" applyFill="1" applyBorder="1" applyAlignment="1">
      <alignment vertical="center"/>
      <protection/>
    </xf>
    <xf numFmtId="0" fontId="10" fillId="34" borderId="22" xfId="60" applyFont="1" applyFill="1" applyBorder="1" applyAlignment="1">
      <alignment vertical="center" wrapText="1"/>
      <protection/>
    </xf>
    <xf numFmtId="0" fontId="10" fillId="34" borderId="24" xfId="60" applyFont="1" applyFill="1" applyBorder="1" applyAlignment="1">
      <alignment horizontal="center" vertical="center" wrapText="1"/>
      <protection/>
    </xf>
    <xf numFmtId="0" fontId="10" fillId="34" borderId="25" xfId="60" applyFont="1" applyFill="1" applyBorder="1" applyAlignment="1">
      <alignment horizontal="center" vertical="center" wrapText="1"/>
      <protection/>
    </xf>
    <xf numFmtId="0" fontId="10" fillId="34" borderId="26" xfId="60" applyFont="1" applyFill="1" applyBorder="1" applyAlignment="1">
      <alignment horizontal="center" vertical="center" wrapText="1"/>
      <protection/>
    </xf>
    <xf numFmtId="0" fontId="10" fillId="34" borderId="14" xfId="60" applyFont="1" applyFill="1" applyBorder="1" applyAlignment="1">
      <alignment vertical="center"/>
      <protection/>
    </xf>
    <xf numFmtId="0" fontId="10" fillId="34" borderId="13" xfId="60" applyFont="1" applyFill="1" applyBorder="1" applyAlignment="1">
      <alignment vertical="center"/>
      <protection/>
    </xf>
    <xf numFmtId="0" fontId="10" fillId="34" borderId="22" xfId="60" applyFont="1" applyFill="1" applyBorder="1" applyAlignment="1">
      <alignment vertical="center"/>
      <protection/>
    </xf>
    <xf numFmtId="0" fontId="10" fillId="34" borderId="23" xfId="60" applyFont="1" applyFill="1" applyBorder="1" applyAlignment="1">
      <alignment vertical="center"/>
      <protection/>
    </xf>
    <xf numFmtId="0" fontId="10" fillId="34" borderId="25" xfId="60" applyFont="1" applyFill="1" applyBorder="1" applyAlignment="1">
      <alignment horizontal="center" vertical="center"/>
      <protection/>
    </xf>
    <xf numFmtId="11" fontId="10" fillId="34" borderId="27" xfId="60" applyNumberFormat="1" applyFont="1" applyFill="1" applyBorder="1" applyAlignment="1">
      <alignment vertical="center"/>
      <protection/>
    </xf>
    <xf numFmtId="0" fontId="10" fillId="34" borderId="27" xfId="60" applyFont="1" applyFill="1" applyBorder="1" applyAlignment="1">
      <alignment vertical="center"/>
      <protection/>
    </xf>
    <xf numFmtId="0" fontId="10" fillId="34" borderId="28" xfId="60" applyFont="1" applyFill="1" applyBorder="1">
      <alignment/>
      <protection/>
    </xf>
    <xf numFmtId="11" fontId="10" fillId="34" borderId="28" xfId="60" applyNumberFormat="1" applyFont="1" applyFill="1" applyBorder="1">
      <alignment/>
      <protection/>
    </xf>
    <xf numFmtId="177" fontId="10" fillId="34" borderId="28" xfId="60" applyNumberFormat="1" applyFont="1" applyFill="1" applyBorder="1">
      <alignment/>
      <protection/>
    </xf>
    <xf numFmtId="0" fontId="10" fillId="34" borderId="29" xfId="60" applyFont="1" applyFill="1" applyBorder="1">
      <alignment/>
      <protection/>
    </xf>
    <xf numFmtId="11" fontId="10" fillId="34" borderId="29" xfId="60" applyNumberFormat="1" applyFont="1" applyFill="1" applyBorder="1">
      <alignment/>
      <protection/>
    </xf>
    <xf numFmtId="177" fontId="10" fillId="34" borderId="29" xfId="60" applyNumberFormat="1" applyFont="1" applyFill="1" applyBorder="1">
      <alignment/>
      <protection/>
    </xf>
    <xf numFmtId="0" fontId="10" fillId="34" borderId="15" xfId="60" applyFont="1" applyFill="1" applyBorder="1" applyAlignment="1">
      <alignment vertical="center"/>
      <protection/>
    </xf>
    <xf numFmtId="0" fontId="10" fillId="34" borderId="30" xfId="60" applyFont="1" applyFill="1" applyBorder="1">
      <alignment/>
      <protection/>
    </xf>
    <xf numFmtId="0" fontId="33" fillId="34" borderId="31" xfId="60" applyFont="1" applyFill="1" applyBorder="1">
      <alignment/>
      <protection/>
    </xf>
    <xf numFmtId="177" fontId="10" fillId="34" borderId="22" xfId="60" applyNumberFormat="1" applyFont="1" applyFill="1" applyBorder="1">
      <alignment/>
      <protection/>
    </xf>
    <xf numFmtId="0" fontId="10" fillId="34" borderId="0" xfId="60" applyFont="1" applyFill="1" applyBorder="1" applyAlignment="1">
      <alignment vertical="center"/>
      <protection/>
    </xf>
    <xf numFmtId="0" fontId="10" fillId="34" borderId="30" xfId="60" applyFont="1" applyFill="1" applyBorder="1" applyAlignment="1">
      <alignment wrapText="1"/>
      <protection/>
    </xf>
    <xf numFmtId="0" fontId="10" fillId="34" borderId="32" xfId="60" applyFont="1" applyFill="1" applyBorder="1">
      <alignment/>
      <protection/>
    </xf>
    <xf numFmtId="177" fontId="10" fillId="34" borderId="32" xfId="60" applyNumberFormat="1" applyFont="1" applyFill="1" applyBorder="1">
      <alignment/>
      <protection/>
    </xf>
    <xf numFmtId="11" fontId="10" fillId="34" borderId="30" xfId="60" applyNumberFormat="1" applyFont="1" applyFill="1" applyBorder="1">
      <alignment/>
      <protection/>
    </xf>
    <xf numFmtId="177" fontId="10" fillId="34" borderId="33" xfId="60" applyNumberFormat="1" applyFont="1" applyFill="1" applyBorder="1">
      <alignment/>
      <protection/>
    </xf>
    <xf numFmtId="0" fontId="10" fillId="34" borderId="0" xfId="60" applyFont="1" applyFill="1" applyBorder="1">
      <alignment/>
      <protection/>
    </xf>
    <xf numFmtId="11" fontId="10" fillId="34" borderId="0" xfId="60" applyNumberFormat="1" applyFont="1" applyFill="1" applyBorder="1">
      <alignment/>
      <protection/>
    </xf>
    <xf numFmtId="177" fontId="10" fillId="34" borderId="0" xfId="60" applyNumberFormat="1" applyFont="1" applyFill="1" applyBorder="1">
      <alignment/>
      <protection/>
    </xf>
    <xf numFmtId="0" fontId="10" fillId="34" borderId="0" xfId="60" applyFont="1" applyFill="1" applyAlignment="1">
      <alignment horizontal="right"/>
      <protection/>
    </xf>
    <xf numFmtId="0" fontId="10" fillId="0" borderId="0" xfId="60" applyFont="1" applyAlignment="1">
      <alignment horizontal="right"/>
      <protection/>
    </xf>
    <xf numFmtId="180" fontId="10" fillId="0" borderId="0" xfId="60" applyNumberFormat="1" applyFont="1">
      <alignment/>
      <protection/>
    </xf>
    <xf numFmtId="11" fontId="10" fillId="0" borderId="0" xfId="60" applyNumberFormat="1" applyFo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E30" sqref="E30"/>
    </sheetView>
  </sheetViews>
  <sheetFormatPr defaultColWidth="12.25390625" defaultRowHeight="16.5" customHeight="1"/>
  <cols>
    <col min="1" max="1" width="8.00390625" style="16" customWidth="1"/>
    <col min="2" max="2" width="14.375" style="16" customWidth="1"/>
    <col min="3" max="3" width="13.75390625" style="16" customWidth="1"/>
    <col min="4" max="4" width="12.125" style="16" customWidth="1"/>
    <col min="5" max="5" width="7.375" style="16" customWidth="1"/>
    <col min="6" max="6" width="6.25390625" style="16" customWidth="1"/>
    <col min="7" max="7" width="3.50390625" style="17" customWidth="1"/>
    <col min="8" max="8" width="5.75390625" style="16" customWidth="1"/>
    <col min="9" max="11" width="5.375" style="16" customWidth="1"/>
    <col min="12" max="16384" width="12.25390625" style="16" customWidth="1"/>
  </cols>
  <sheetData>
    <row r="1" spans="1:5" ht="24" customHeight="1">
      <c r="A1" s="43" t="s">
        <v>67</v>
      </c>
      <c r="B1" s="43"/>
      <c r="C1" s="43"/>
      <c r="D1" s="43"/>
      <c r="E1" s="43"/>
    </row>
    <row r="2" ht="7.5" customHeight="1"/>
    <row r="3" spans="1:14" ht="21" customHeight="1" thickBot="1">
      <c r="A3" s="44" t="s">
        <v>43</v>
      </c>
      <c r="B3" s="45"/>
      <c r="C3" s="22" t="s">
        <v>40</v>
      </c>
      <c r="D3" s="23" t="s">
        <v>41</v>
      </c>
      <c r="E3" s="23" t="s">
        <v>42</v>
      </c>
      <c r="M3" s="14"/>
      <c r="N3" s="15"/>
    </row>
    <row r="4" spans="1:5" ht="15.75" customHeight="1" thickTop="1">
      <c r="A4" s="49" t="s">
        <v>45</v>
      </c>
      <c r="B4" s="50"/>
      <c r="C4" s="24" t="s">
        <v>47</v>
      </c>
      <c r="D4" s="25" t="s">
        <v>38</v>
      </c>
      <c r="E4" s="25"/>
    </row>
    <row r="5" spans="1:5" ht="15.75" customHeight="1">
      <c r="A5" s="51"/>
      <c r="B5" s="51"/>
      <c r="C5" s="24" t="s">
        <v>48</v>
      </c>
      <c r="D5" s="25" t="s">
        <v>39</v>
      </c>
      <c r="E5" s="25"/>
    </row>
    <row r="6" spans="1:5" ht="15.75" customHeight="1">
      <c r="A6" s="51"/>
      <c r="B6" s="51"/>
      <c r="C6" s="24" t="s">
        <v>49</v>
      </c>
      <c r="D6" s="26">
        <v>3</v>
      </c>
      <c r="E6" s="27" t="s">
        <v>11</v>
      </c>
    </row>
    <row r="7" spans="1:5" ht="15.75" customHeight="1">
      <c r="A7" s="51"/>
      <c r="B7" s="51"/>
      <c r="C7" s="24" t="s">
        <v>50</v>
      </c>
      <c r="D7" s="25" t="s">
        <v>51</v>
      </c>
      <c r="E7" s="28"/>
    </row>
    <row r="8" spans="1:5" ht="15.75" customHeight="1">
      <c r="A8" s="51"/>
      <c r="B8" s="51"/>
      <c r="C8" s="24" t="s">
        <v>52</v>
      </c>
      <c r="D8" s="26">
        <f>7/16*D11/(H10*10^3)^3*10^-6</f>
        <v>2.7881019448271585</v>
      </c>
      <c r="E8" s="28" t="s">
        <v>18</v>
      </c>
    </row>
    <row r="9" spans="1:5" ht="15.75" customHeight="1">
      <c r="A9" s="51"/>
      <c r="B9" s="51"/>
      <c r="C9" s="24" t="s">
        <v>53</v>
      </c>
      <c r="D9" s="29">
        <v>30000000000</v>
      </c>
      <c r="E9" s="28" t="s">
        <v>54</v>
      </c>
    </row>
    <row r="10" spans="1:13" ht="15.75" customHeight="1">
      <c r="A10" s="51"/>
      <c r="B10" s="51"/>
      <c r="C10" s="24" t="s">
        <v>55</v>
      </c>
      <c r="D10" s="28">
        <f>130*70</f>
        <v>9100</v>
      </c>
      <c r="E10" s="28" t="s">
        <v>56</v>
      </c>
      <c r="G10" s="17" t="s">
        <v>13</v>
      </c>
      <c r="H10" s="20">
        <f>(D10/PI())^0.5</f>
        <v>53.820256077730576</v>
      </c>
      <c r="I10" s="16" t="s">
        <v>14</v>
      </c>
      <c r="L10" s="15"/>
      <c r="M10" s="19"/>
    </row>
    <row r="11" spans="1:13" ht="15.75" customHeight="1">
      <c r="A11" s="51"/>
      <c r="B11" s="51"/>
      <c r="C11" s="24" t="s">
        <v>57</v>
      </c>
      <c r="D11" s="29">
        <v>9.935E+20</v>
      </c>
      <c r="E11" s="28" t="s">
        <v>9</v>
      </c>
      <c r="L11" s="15"/>
      <c r="M11" s="19"/>
    </row>
    <row r="12" spans="1:13" ht="15.75" customHeight="1">
      <c r="A12" s="51"/>
      <c r="B12" s="51"/>
      <c r="C12" s="24" t="s">
        <v>58</v>
      </c>
      <c r="D12" s="32">
        <f>D11/D9/(D10*10^6)*10^2</f>
        <v>363.9194139194139</v>
      </c>
      <c r="E12" s="28" t="s">
        <v>8</v>
      </c>
      <c r="L12" s="15"/>
      <c r="M12" s="19"/>
    </row>
    <row r="13" spans="1:5" ht="15.75" customHeight="1">
      <c r="A13" s="52"/>
      <c r="B13" s="52"/>
      <c r="C13" s="30" t="s">
        <v>59</v>
      </c>
      <c r="D13" s="31">
        <v>3.53</v>
      </c>
      <c r="E13" s="31" t="s">
        <v>11</v>
      </c>
    </row>
    <row r="14" spans="1:12" ht="15.75" customHeight="1">
      <c r="A14" s="46" t="s">
        <v>44</v>
      </c>
      <c r="B14" s="53" t="s">
        <v>60</v>
      </c>
      <c r="C14" s="24" t="s">
        <v>61</v>
      </c>
      <c r="D14" s="29">
        <f>D9*D15*10^6*D16*10^-2</f>
        <v>4.5417142857142855E+20</v>
      </c>
      <c r="E14" s="28" t="s">
        <v>10</v>
      </c>
      <c r="L14" s="15"/>
    </row>
    <row r="15" spans="1:9" ht="15.75" customHeight="1">
      <c r="A15" s="47"/>
      <c r="B15" s="54"/>
      <c r="C15" s="24" t="s">
        <v>62</v>
      </c>
      <c r="D15" s="32">
        <f>13*10*16</f>
        <v>2080</v>
      </c>
      <c r="E15" s="28" t="s">
        <v>56</v>
      </c>
      <c r="G15" s="17" t="s">
        <v>15</v>
      </c>
      <c r="H15" s="20">
        <f>(D15/PI())^0.5</f>
        <v>25.731003930322746</v>
      </c>
      <c r="I15" s="16" t="s">
        <v>14</v>
      </c>
    </row>
    <row r="16" spans="1:10" ht="15.75" customHeight="1">
      <c r="A16" s="47"/>
      <c r="B16" s="54"/>
      <c r="C16" s="24" t="s">
        <v>58</v>
      </c>
      <c r="D16" s="32">
        <f>D12*2</f>
        <v>727.8388278388278</v>
      </c>
      <c r="E16" s="28" t="s">
        <v>8</v>
      </c>
      <c r="J16" s="21"/>
    </row>
    <row r="17" spans="1:5" ht="15.75" customHeight="1">
      <c r="A17" s="47"/>
      <c r="B17" s="54"/>
      <c r="C17" s="24" t="s">
        <v>63</v>
      </c>
      <c r="D17" s="26">
        <v>5.1303</v>
      </c>
      <c r="E17" s="28" t="s">
        <v>18</v>
      </c>
    </row>
    <row r="18" spans="1:5" ht="15.75" customHeight="1">
      <c r="A18" s="47"/>
      <c r="B18" s="55"/>
      <c r="C18" s="30" t="s">
        <v>64</v>
      </c>
      <c r="D18" s="33">
        <f>4*PI()*H15*10^3*D17*10^6*($D$13*10^3)^2</f>
        <v>2.0670870568699515E+19</v>
      </c>
      <c r="E18" s="31" t="s">
        <v>65</v>
      </c>
    </row>
    <row r="19" spans="1:5" ht="15.75" customHeight="1">
      <c r="A19" s="47"/>
      <c r="B19" s="56" t="s">
        <v>70</v>
      </c>
      <c r="C19" s="24" t="s">
        <v>61</v>
      </c>
      <c r="D19" s="42">
        <f>D9*D20*10^6*D21*10^-2</f>
        <v>3.100658457522751E+20</v>
      </c>
      <c r="E19" s="28" t="s">
        <v>10</v>
      </c>
    </row>
    <row r="20" spans="1:11" ht="15.75" customHeight="1">
      <c r="A20" s="47"/>
      <c r="B20" s="54"/>
      <c r="C20" s="24" t="s">
        <v>62</v>
      </c>
      <c r="D20" s="28">
        <f>D15*10/(10+6)</f>
        <v>1300</v>
      </c>
      <c r="E20" s="28" t="s">
        <v>56</v>
      </c>
      <c r="F20" s="17"/>
      <c r="G20" s="17" t="s">
        <v>15</v>
      </c>
      <c r="H20" s="20">
        <f>(D20/PI())^0.5</f>
        <v>20.342144725641095</v>
      </c>
      <c r="I20" s="16" t="s">
        <v>14</v>
      </c>
      <c r="J20" s="17" t="s">
        <v>20</v>
      </c>
      <c r="K20" s="21">
        <f>H20/H15</f>
        <v>0.7905694150420948</v>
      </c>
    </row>
    <row r="21" spans="1:5" ht="15.75" customHeight="1">
      <c r="A21" s="47"/>
      <c r="B21" s="54"/>
      <c r="C21" s="24" t="s">
        <v>58</v>
      </c>
      <c r="D21" s="32">
        <f>K20/(K20^3+K25^3)*D16</f>
        <v>795.0406301340387</v>
      </c>
      <c r="E21" s="28" t="s">
        <v>8</v>
      </c>
    </row>
    <row r="22" spans="1:5" ht="15.75" customHeight="1">
      <c r="A22" s="47"/>
      <c r="B22" s="54"/>
      <c r="C22" s="24" t="s">
        <v>63</v>
      </c>
      <c r="D22" s="26">
        <f>D17</f>
        <v>5.1303</v>
      </c>
      <c r="E22" s="28" t="s">
        <v>18</v>
      </c>
    </row>
    <row r="23" spans="1:5" ht="15.75" customHeight="1">
      <c r="A23" s="47"/>
      <c r="B23" s="55"/>
      <c r="C23" s="30" t="s">
        <v>64</v>
      </c>
      <c r="D23" s="33">
        <f>4*PI()*H20*10^3*D22*10^6*(D13*10^3)^2</f>
        <v>1.634175805390763E+19</v>
      </c>
      <c r="E23" s="31" t="s">
        <v>65</v>
      </c>
    </row>
    <row r="24" spans="1:5" ht="15.75" customHeight="1">
      <c r="A24" s="47"/>
      <c r="B24" s="56" t="s">
        <v>69</v>
      </c>
      <c r="C24" s="24" t="s">
        <v>61</v>
      </c>
      <c r="D24" s="42">
        <f>D9*D25*10^6*D26*10^-2</f>
        <v>1.4410558281915348E+20</v>
      </c>
      <c r="E24" s="28" t="s">
        <v>10</v>
      </c>
    </row>
    <row r="25" spans="1:11" ht="15.75" customHeight="1">
      <c r="A25" s="47"/>
      <c r="B25" s="54"/>
      <c r="C25" s="24" t="s">
        <v>62</v>
      </c>
      <c r="D25" s="32">
        <f>D15-D20</f>
        <v>780</v>
      </c>
      <c r="E25" s="28" t="s">
        <v>56</v>
      </c>
      <c r="G25" s="17" t="s">
        <v>15</v>
      </c>
      <c r="H25" s="20">
        <f>(D25/PI())^0.5</f>
        <v>15.756957549709801</v>
      </c>
      <c r="I25" s="16" t="s">
        <v>14</v>
      </c>
      <c r="J25" s="17" t="s">
        <v>20</v>
      </c>
      <c r="K25" s="21">
        <f>H25/H15</f>
        <v>0.6123724356957945</v>
      </c>
    </row>
    <row r="26" spans="1:5" ht="15.75" customHeight="1">
      <c r="A26" s="47"/>
      <c r="B26" s="54"/>
      <c r="C26" s="24" t="s">
        <v>58</v>
      </c>
      <c r="D26" s="32">
        <f>K25/(K20^3+K25^3)*D16</f>
        <v>615.8358240134764</v>
      </c>
      <c r="E26" s="28" t="s">
        <v>8</v>
      </c>
    </row>
    <row r="27" spans="1:5" ht="15.75" customHeight="1">
      <c r="A27" s="47"/>
      <c r="B27" s="54"/>
      <c r="C27" s="24" t="s">
        <v>63</v>
      </c>
      <c r="D27" s="26">
        <f>D17</f>
        <v>5.1303</v>
      </c>
      <c r="E27" s="28" t="s">
        <v>18</v>
      </c>
    </row>
    <row r="28" spans="1:5" ht="15.75" customHeight="1">
      <c r="A28" s="47"/>
      <c r="B28" s="55"/>
      <c r="C28" s="30" t="s">
        <v>64</v>
      </c>
      <c r="D28" s="33">
        <f>4*PI()*H25*10^3*D27*10^6*(D13*10^3)^2</f>
        <v>1.2658271358107034E+19</v>
      </c>
      <c r="E28" s="31" t="s">
        <v>65</v>
      </c>
    </row>
    <row r="29" spans="1:5" ht="15.75" customHeight="1">
      <c r="A29" s="47"/>
      <c r="B29" s="53" t="s">
        <v>66</v>
      </c>
      <c r="C29" s="24" t="s">
        <v>61</v>
      </c>
      <c r="D29" s="42">
        <f>D11-D14</f>
        <v>5.3932857142857145E+20</v>
      </c>
      <c r="E29" s="28" t="s">
        <v>10</v>
      </c>
    </row>
    <row r="30" spans="1:9" ht="15.75" customHeight="1">
      <c r="A30" s="47"/>
      <c r="B30" s="54"/>
      <c r="C30" s="24" t="s">
        <v>62</v>
      </c>
      <c r="D30" s="32">
        <f>D10-D15</f>
        <v>7020</v>
      </c>
      <c r="E30" s="28" t="s">
        <v>56</v>
      </c>
      <c r="G30" s="17" t="s">
        <v>15</v>
      </c>
      <c r="H30" s="20">
        <f>(D30/PI())^0.5</f>
        <v>47.27087264912941</v>
      </c>
      <c r="I30" s="16" t="s">
        <v>14</v>
      </c>
    </row>
    <row r="31" spans="1:9" ht="15.75" customHeight="1">
      <c r="A31" s="47"/>
      <c r="B31" s="54"/>
      <c r="C31" s="24" t="s">
        <v>58</v>
      </c>
      <c r="D31" s="32">
        <f>D29/(D30*10^6)/D9*10^2</f>
        <v>256.0914394247727</v>
      </c>
      <c r="E31" s="28" t="s">
        <v>8</v>
      </c>
      <c r="G31" s="17" t="s">
        <v>24</v>
      </c>
      <c r="H31" s="20">
        <f>(D10/2)^0.5</f>
        <v>67.45368781616021</v>
      </c>
      <c r="I31" s="16" t="s">
        <v>14</v>
      </c>
    </row>
    <row r="32" spans="1:5" ht="15.75" customHeight="1">
      <c r="A32" s="47"/>
      <c r="B32" s="54"/>
      <c r="C32" s="24" t="s">
        <v>63</v>
      </c>
      <c r="D32" s="26">
        <v>1.8051</v>
      </c>
      <c r="E32" s="28" t="s">
        <v>18</v>
      </c>
    </row>
    <row r="33" spans="1:5" ht="15.75" customHeight="1">
      <c r="A33" s="48"/>
      <c r="B33" s="55"/>
      <c r="C33" s="30" t="s">
        <v>64</v>
      </c>
      <c r="D33" s="33">
        <f>4*PI()*H30*10^3*D32*10^6*(D13*10^3)^2</f>
        <v>1.336146753319631E+19</v>
      </c>
      <c r="E33" s="31" t="s">
        <v>65</v>
      </c>
    </row>
    <row r="35" spans="4:6" ht="16.5" customHeight="1">
      <c r="D35" s="18" t="s">
        <v>46</v>
      </c>
      <c r="E35" s="15">
        <f>2.46*10^17*($D$11*10^7)^(1/3)*10^-7</f>
        <v>5.288401230214517E+19</v>
      </c>
      <c r="F35" s="15" t="s">
        <v>34</v>
      </c>
    </row>
    <row r="36" spans="4:6" ht="16.5" customHeight="1">
      <c r="D36" s="17" t="s">
        <v>68</v>
      </c>
      <c r="E36" s="15">
        <f>(D23^2+D28^2)^0.5</f>
        <v>2.0670870568699515E+19</v>
      </c>
      <c r="F36" s="15" t="s">
        <v>34</v>
      </c>
    </row>
  </sheetData>
  <sheetProtection/>
  <mergeCells count="8">
    <mergeCell ref="A1:E1"/>
    <mergeCell ref="A3:B3"/>
    <mergeCell ref="A14:A33"/>
    <mergeCell ref="A4:B13"/>
    <mergeCell ref="B14:B18"/>
    <mergeCell ref="B19:B23"/>
    <mergeCell ref="B24:B28"/>
    <mergeCell ref="B29:B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A6" sqref="A6"/>
    </sheetView>
  </sheetViews>
  <sheetFormatPr defaultColWidth="9.00390625" defaultRowHeight="13.5"/>
  <cols>
    <col min="1" max="1" width="6.125" style="36" customWidth="1"/>
    <col min="2" max="2" width="9.00390625" style="36" customWidth="1"/>
    <col min="3" max="3" width="9.00390625" style="35" customWidth="1"/>
    <col min="4" max="4" width="9.00390625" style="36" customWidth="1"/>
    <col min="5" max="5" width="9.00390625" style="35" customWidth="1"/>
    <col min="6" max="6" width="13.125" style="36" customWidth="1"/>
    <col min="7" max="16384" width="9.00390625" style="36" customWidth="1"/>
  </cols>
  <sheetData>
    <row r="1" ht="14.25">
      <c r="A1" t="s">
        <v>77</v>
      </c>
    </row>
    <row r="2" spans="2:9" ht="14.25">
      <c r="B2" s="34" t="s">
        <v>71</v>
      </c>
      <c r="C2" s="35">
        <v>51</v>
      </c>
      <c r="D2" s="36" t="s">
        <v>72</v>
      </c>
      <c r="E2" s="35">
        <v>3.53</v>
      </c>
      <c r="F2" s="34" t="s">
        <v>73</v>
      </c>
      <c r="G2" s="37">
        <v>8E+25</v>
      </c>
      <c r="H2" s="34" t="s">
        <v>74</v>
      </c>
      <c r="I2" s="38">
        <f>(LOG(G2)-16.2)/1.5</f>
        <v>6.46872665799463</v>
      </c>
    </row>
    <row r="3" spans="2:3" ht="14.25">
      <c r="B3" s="39" t="s">
        <v>75</v>
      </c>
      <c r="C3" s="41">
        <f>4.9*10^6*E2*(C2/G2)^(1/3)</f>
        <v>0.14886668418351573</v>
      </c>
    </row>
    <row r="4" spans="2:3" ht="14.25">
      <c r="B4" s="34" t="s">
        <v>76</v>
      </c>
      <c r="C4" s="40">
        <f>1/C3</f>
        <v>6.717419720098339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13" sqref="C13"/>
    </sheetView>
  </sheetViews>
  <sheetFormatPr defaultColWidth="9.00390625" defaultRowHeight="13.5"/>
  <cols>
    <col min="1" max="1" width="12.25390625" style="59" customWidth="1"/>
    <col min="2" max="2" width="10.625" style="59" customWidth="1"/>
    <col min="3" max="3" width="15.25390625" style="59" customWidth="1"/>
    <col min="4" max="4" width="14.625" style="59" customWidth="1"/>
    <col min="5" max="5" width="10.625" style="59" customWidth="1"/>
    <col min="6" max="6" width="11.25390625" style="59" customWidth="1"/>
    <col min="7" max="7" width="11.625" style="59" customWidth="1"/>
    <col min="8" max="10" width="5.625" style="59" customWidth="1"/>
    <col min="11" max="11" width="13.125" style="59" customWidth="1"/>
    <col min="12" max="12" width="10.125" style="59" customWidth="1"/>
    <col min="13" max="16384" width="9.00390625" style="59" customWidth="1"/>
  </cols>
  <sheetData>
    <row r="1" spans="1:12" ht="32.25" customHeight="1">
      <c r="A1" s="57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30" customHeight="1">
      <c r="A2" s="60" t="s">
        <v>79</v>
      </c>
      <c r="B2" s="61" t="s">
        <v>80</v>
      </c>
      <c r="C2" s="62" t="s">
        <v>81</v>
      </c>
      <c r="D2" s="63" t="s">
        <v>82</v>
      </c>
      <c r="E2" s="63" t="s">
        <v>83</v>
      </c>
      <c r="F2" s="63" t="s">
        <v>84</v>
      </c>
      <c r="G2" s="63" t="s">
        <v>85</v>
      </c>
      <c r="H2" s="64" t="s">
        <v>86</v>
      </c>
      <c r="I2" s="64"/>
      <c r="J2" s="64"/>
      <c r="K2" s="60" t="s">
        <v>87</v>
      </c>
      <c r="L2" s="60" t="s">
        <v>88</v>
      </c>
    </row>
    <row r="3" spans="1:12" ht="57.75" customHeight="1" thickBot="1">
      <c r="A3" s="65"/>
      <c r="B3" s="66"/>
      <c r="C3" s="67"/>
      <c r="D3" s="68"/>
      <c r="E3" s="68"/>
      <c r="F3" s="68"/>
      <c r="G3" s="68"/>
      <c r="H3" s="69" t="s">
        <v>89</v>
      </c>
      <c r="I3" s="69" t="s">
        <v>90</v>
      </c>
      <c r="J3" s="70" t="s">
        <v>91</v>
      </c>
      <c r="K3" s="71"/>
      <c r="L3" s="71"/>
    </row>
    <row r="4" spans="1:12" ht="24.75" customHeight="1" thickTop="1">
      <c r="A4" s="72">
        <v>8E+18</v>
      </c>
      <c r="B4" s="73">
        <v>5.1</v>
      </c>
      <c r="C4" s="74" t="s">
        <v>92</v>
      </c>
      <c r="D4" s="75">
        <v>3.1007E+20</v>
      </c>
      <c r="E4" s="74">
        <v>5.1</v>
      </c>
      <c r="F4" s="76">
        <f>E4/$B$4</f>
        <v>1</v>
      </c>
      <c r="G4" s="76">
        <f>(D4/(F4*$A$4))^(1/3)</f>
        <v>3.384204412777856</v>
      </c>
      <c r="H4" s="74">
        <v>2</v>
      </c>
      <c r="I4" s="74">
        <v>5</v>
      </c>
      <c r="J4" s="74">
        <v>4</v>
      </c>
      <c r="K4" s="75">
        <f>F4*H4*I4*J4*$A$4</f>
        <v>3.2E+20</v>
      </c>
      <c r="L4" s="76">
        <f>K4/D4</f>
        <v>1.0320250266068953</v>
      </c>
    </row>
    <row r="5" spans="1:12" ht="24.75" customHeight="1">
      <c r="A5" s="68"/>
      <c r="B5" s="68"/>
      <c r="C5" s="77" t="s">
        <v>93</v>
      </c>
      <c r="D5" s="78">
        <v>1.4411E+20</v>
      </c>
      <c r="E5" s="77">
        <v>5.1</v>
      </c>
      <c r="F5" s="79">
        <f>E5/$B$4</f>
        <v>1</v>
      </c>
      <c r="G5" s="79">
        <f>(D5/(F5*$A$4))^(1/3)</f>
        <v>2.621408542772493</v>
      </c>
      <c r="H5" s="77">
        <v>2</v>
      </c>
      <c r="I5" s="77">
        <v>3</v>
      </c>
      <c r="J5" s="77">
        <v>3</v>
      </c>
      <c r="K5" s="78">
        <f>F5*H5*I5*J5*$A$4</f>
        <v>1.44E+20</v>
      </c>
      <c r="L5" s="79">
        <f>K5/D5</f>
        <v>0.9992366941919367</v>
      </c>
    </row>
    <row r="6" spans="1:12" ht="24.75" customHeight="1" thickBot="1">
      <c r="A6" s="80"/>
      <c r="B6" s="80"/>
      <c r="C6" s="77" t="s">
        <v>94</v>
      </c>
      <c r="D6" s="78">
        <v>5.3933E+20</v>
      </c>
      <c r="E6" s="77">
        <v>1.8</v>
      </c>
      <c r="F6" s="79">
        <f>E6/$B$4</f>
        <v>0.35294117647058826</v>
      </c>
      <c r="G6" s="79">
        <f>(D6/(F6*$A$4))^(1/3)</f>
        <v>5.759092943400875</v>
      </c>
      <c r="H6" s="81">
        <v>54</v>
      </c>
      <c r="I6" s="82" t="s">
        <v>95</v>
      </c>
      <c r="J6" s="77">
        <v>4</v>
      </c>
      <c r="K6" s="78">
        <f>F6*H6*J6*$A$4</f>
        <v>6.098823529411765E+20</v>
      </c>
      <c r="L6" s="83">
        <f>K6/D6</f>
        <v>1.13081481271425</v>
      </c>
    </row>
    <row r="7" spans="1:12" ht="23.25" customHeight="1" thickBot="1">
      <c r="A7" s="84"/>
      <c r="B7" s="84"/>
      <c r="C7" s="85" t="s">
        <v>96</v>
      </c>
      <c r="D7" s="78">
        <f>SUM(D4:D6)</f>
        <v>9.9351E+20</v>
      </c>
      <c r="E7" s="86"/>
      <c r="F7" s="87"/>
      <c r="G7" s="87"/>
      <c r="H7" s="86"/>
      <c r="I7" s="86"/>
      <c r="J7" s="86"/>
      <c r="K7" s="88">
        <f>SUM(K4:K6)</f>
        <v>1.0738823529411765E+21</v>
      </c>
      <c r="L7" s="89">
        <f>K7/D7</f>
        <v>1.0808973769173702</v>
      </c>
    </row>
    <row r="8" spans="1:12" ht="9.75" customHeight="1">
      <c r="A8" s="84"/>
      <c r="B8" s="84"/>
      <c r="C8" s="90"/>
      <c r="D8" s="91"/>
      <c r="E8" s="90"/>
      <c r="F8" s="92"/>
      <c r="G8" s="92"/>
      <c r="H8" s="90"/>
      <c r="I8" s="90"/>
      <c r="J8" s="90"/>
      <c r="K8" s="91"/>
      <c r="L8" s="92"/>
    </row>
    <row r="9" spans="1:12" ht="19.5" customHeight="1">
      <c r="A9" s="93" t="s">
        <v>97</v>
      </c>
      <c r="B9" s="58" t="s">
        <v>98</v>
      </c>
      <c r="C9" s="58"/>
      <c r="D9" s="93" t="s">
        <v>99</v>
      </c>
      <c r="E9" s="58" t="s">
        <v>100</v>
      </c>
      <c r="F9" s="58"/>
      <c r="G9" s="93" t="s">
        <v>101</v>
      </c>
      <c r="H9" s="58" t="s">
        <v>102</v>
      </c>
      <c r="I9" s="58"/>
      <c r="J9" s="58"/>
      <c r="K9" s="58"/>
      <c r="L9" s="58"/>
    </row>
    <row r="10" spans="1:12" ht="19.5" customHeight="1">
      <c r="A10" s="93" t="s">
        <v>103</v>
      </c>
      <c r="B10" s="58" t="s">
        <v>104</v>
      </c>
      <c r="C10" s="58"/>
      <c r="D10" s="93" t="s">
        <v>105</v>
      </c>
      <c r="E10" s="58" t="s">
        <v>106</v>
      </c>
      <c r="F10" s="58"/>
      <c r="G10" s="58"/>
      <c r="H10" s="58"/>
      <c r="I10" s="58"/>
      <c r="J10" s="58"/>
      <c r="K10" s="58"/>
      <c r="L10" s="58"/>
    </row>
    <row r="11" spans="1:12" ht="19.5" customHeight="1">
      <c r="A11" s="93"/>
      <c r="B11" s="58"/>
      <c r="C11" s="58"/>
      <c r="D11" s="93"/>
      <c r="E11" s="58"/>
      <c r="F11" s="58"/>
      <c r="G11" s="58"/>
      <c r="H11" s="58"/>
      <c r="I11" s="58"/>
      <c r="J11" s="58"/>
      <c r="K11" s="58"/>
      <c r="L11" s="58"/>
    </row>
    <row r="15" ht="14.25">
      <c r="A15" s="59" t="s">
        <v>107</v>
      </c>
    </row>
    <row r="16" spans="1:10" ht="16.5">
      <c r="A16" s="59" t="s">
        <v>108</v>
      </c>
      <c r="B16" s="94" t="s">
        <v>13</v>
      </c>
      <c r="C16" s="95">
        <f>(7/16*A4/(B4*10^7))^(1/3)/10^5</f>
        <v>0.04094170795738875</v>
      </c>
      <c r="D16" s="96" t="s">
        <v>109</v>
      </c>
      <c r="E16" s="94" t="s">
        <v>110</v>
      </c>
      <c r="F16" s="95">
        <f>PI()*C16^2</f>
        <v>0.005266011277765548</v>
      </c>
      <c r="G16" s="59" t="s">
        <v>111</v>
      </c>
      <c r="H16" s="59" t="s">
        <v>112</v>
      </c>
      <c r="I16" s="95">
        <f>SQRT(F16)</f>
        <v>0.07256728793172271</v>
      </c>
      <c r="J16" s="59" t="s">
        <v>109</v>
      </c>
    </row>
    <row r="17" ht="26.25" customHeight="1">
      <c r="A17" s="59" t="s">
        <v>113</v>
      </c>
    </row>
    <row r="18" ht="18.75">
      <c r="A18" s="59" t="s">
        <v>114</v>
      </c>
    </row>
    <row r="19" ht="14.25">
      <c r="B19" s="96"/>
    </row>
  </sheetData>
  <sheetProtection/>
  <mergeCells count="12">
    <mergeCell ref="G2:G3"/>
    <mergeCell ref="H2:J2"/>
    <mergeCell ref="K2:K3"/>
    <mergeCell ref="L2:L3"/>
    <mergeCell ref="A4:A6"/>
    <mergeCell ref="B4:B6"/>
    <mergeCell ref="A2:A3"/>
    <mergeCell ref="B2:B3"/>
    <mergeCell ref="C2:C3"/>
    <mergeCell ref="D2:D3"/>
    <mergeCell ref="E2:E3"/>
    <mergeCell ref="F2:F3"/>
  </mergeCells>
  <printOptions/>
  <pageMargins left="0.787" right="0.787" top="0.984" bottom="0.984" header="0.512" footer="0.512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N37"/>
  <sheetViews>
    <sheetView zoomScalePageLayoutView="0" workbookViewId="0" topLeftCell="A1">
      <selection activeCell="G21" sqref="G21"/>
    </sheetView>
  </sheetViews>
  <sheetFormatPr defaultColWidth="12.25390625" defaultRowHeight="16.5" customHeight="1"/>
  <cols>
    <col min="1" max="1" width="12.25390625" style="0" customWidth="1"/>
    <col min="2" max="2" width="14.375" style="0" customWidth="1"/>
    <col min="3" max="3" width="15.50390625" style="0" customWidth="1"/>
    <col min="4" max="6" width="12.25390625" style="0" customWidth="1"/>
    <col min="7" max="7" width="5.00390625" style="4" customWidth="1"/>
    <col min="8" max="8" width="8.50390625" style="0" customWidth="1"/>
    <col min="9" max="10" width="5.375" style="0" customWidth="1"/>
    <col min="11" max="11" width="9.25390625" style="0" customWidth="1"/>
  </cols>
  <sheetData>
    <row r="2" spans="2:14" ht="16.5" customHeight="1">
      <c r="B2" s="9" t="s">
        <v>25</v>
      </c>
      <c r="L2" s="12" t="s">
        <v>33</v>
      </c>
      <c r="M2" s="6">
        <f>2.46*10^17*(D10*10^7)^(1/3)*10^-7</f>
        <v>5.386808542062108E+19</v>
      </c>
      <c r="N2" s="5" t="s">
        <v>34</v>
      </c>
    </row>
    <row r="3" spans="2:5" ht="16.5" customHeight="1">
      <c r="B3" s="10" t="s">
        <v>28</v>
      </c>
      <c r="E3" s="4"/>
    </row>
    <row r="4" spans="2:5" ht="16.5" customHeight="1">
      <c r="B4" s="10" t="s">
        <v>26</v>
      </c>
      <c r="E4" s="4"/>
    </row>
    <row r="5" spans="2:5" ht="16.5" customHeight="1">
      <c r="B5" s="10" t="s">
        <v>29</v>
      </c>
      <c r="E5" s="4"/>
    </row>
    <row r="6" spans="2:5" ht="16.5" customHeight="1">
      <c r="B6" s="7"/>
      <c r="C6" s="7"/>
      <c r="D6" s="7"/>
      <c r="E6" s="7"/>
    </row>
    <row r="7" spans="2:13" ht="16.5" customHeight="1">
      <c r="B7" s="11" t="s">
        <v>27</v>
      </c>
      <c r="C7" t="s">
        <v>17</v>
      </c>
      <c r="D7" s="3">
        <v>3</v>
      </c>
      <c r="E7" t="s">
        <v>18</v>
      </c>
      <c r="M7">
        <f>(L9^2+L10^2+L11^2)^0.5</f>
        <v>1.0836438529332412E+20</v>
      </c>
    </row>
    <row r="8" spans="3:13" ht="16.5" customHeight="1">
      <c r="C8" t="s">
        <v>16</v>
      </c>
      <c r="D8" s="1">
        <v>46800000000</v>
      </c>
      <c r="E8" t="s">
        <v>30</v>
      </c>
      <c r="L8" t="s">
        <v>35</v>
      </c>
      <c r="M8" t="s">
        <v>37</v>
      </c>
    </row>
    <row r="9" spans="3:13" ht="16.5" customHeight="1">
      <c r="C9" t="s">
        <v>12</v>
      </c>
      <c r="D9">
        <v>9000</v>
      </c>
      <c r="E9" t="s">
        <v>31</v>
      </c>
      <c r="G9" s="4" t="s">
        <v>13</v>
      </c>
      <c r="H9" s="3">
        <f>(D9/PI())^0.5</f>
        <v>53.52372348458314</v>
      </c>
      <c r="I9" t="s">
        <v>14</v>
      </c>
      <c r="L9" s="1">
        <v>5.42E+19</v>
      </c>
      <c r="M9" s="13" t="s">
        <v>36</v>
      </c>
    </row>
    <row r="10" spans="3:13" ht="16.5" customHeight="1">
      <c r="C10" t="s">
        <v>1</v>
      </c>
      <c r="D10" s="1">
        <v>1.05E+21</v>
      </c>
      <c r="E10" t="s">
        <v>9</v>
      </c>
      <c r="L10" s="1">
        <v>7.66E+19</v>
      </c>
      <c r="M10" s="13" t="s">
        <v>36</v>
      </c>
    </row>
    <row r="11" spans="3:13" ht="16.5" customHeight="1">
      <c r="C11" t="s">
        <v>4</v>
      </c>
      <c r="D11">
        <v>249.6</v>
      </c>
      <c r="E11" t="s">
        <v>8</v>
      </c>
      <c r="L11" s="1">
        <v>5.42E+19</v>
      </c>
      <c r="M11" s="13" t="s">
        <v>36</v>
      </c>
    </row>
    <row r="12" spans="2:5" ht="16.5" customHeight="1">
      <c r="B12" s="7"/>
      <c r="C12" s="7" t="s">
        <v>7</v>
      </c>
      <c r="D12" s="7">
        <v>3.9</v>
      </c>
      <c r="E12" s="7" t="s">
        <v>11</v>
      </c>
    </row>
    <row r="13" spans="2:12" ht="16.5" customHeight="1">
      <c r="B13" t="s">
        <v>0</v>
      </c>
      <c r="C13" t="s">
        <v>2</v>
      </c>
      <c r="D13" s="1">
        <f>D8*D14*10^6*D15*10^-2</f>
        <v>1.687705168874836E+20</v>
      </c>
      <c r="E13" t="s">
        <v>10</v>
      </c>
      <c r="L13" s="1"/>
    </row>
    <row r="14" spans="3:9" ht="16.5" customHeight="1">
      <c r="C14" t="s">
        <v>3</v>
      </c>
      <c r="D14" s="3">
        <f>PI()*H14^2</f>
        <v>722.3973609376867</v>
      </c>
      <c r="E14" t="s">
        <v>31</v>
      </c>
      <c r="G14" s="4" t="s">
        <v>15</v>
      </c>
      <c r="H14" s="3">
        <f>(7*PI()/4)*(D10/D17/(H9*10^3))*(D12*10^3)^2*10^-3</f>
        <v>15.16397776770811</v>
      </c>
      <c r="I14" t="s">
        <v>14</v>
      </c>
    </row>
    <row r="15" spans="3:10" ht="16.5" customHeight="1">
      <c r="C15" t="s">
        <v>4</v>
      </c>
      <c r="D15">
        <f>D11*2</f>
        <v>499.2</v>
      </c>
      <c r="E15" t="s">
        <v>8</v>
      </c>
      <c r="J15" s="2"/>
    </row>
    <row r="16" spans="3:5" ht="16.5" customHeight="1">
      <c r="C16" t="s">
        <v>5</v>
      </c>
      <c r="D16" s="3">
        <f>D9/D14*D7</f>
        <v>37.37555182227333</v>
      </c>
      <c r="E16" t="s">
        <v>18</v>
      </c>
    </row>
    <row r="17" spans="2:5" ht="16.5" customHeight="1">
      <c r="B17" s="7"/>
      <c r="C17" s="7" t="s">
        <v>6</v>
      </c>
      <c r="D17" s="8">
        <v>1.0818E+20</v>
      </c>
      <c r="E17" s="7" t="s">
        <v>32</v>
      </c>
    </row>
    <row r="18" spans="2:5" ht="16.5" customHeight="1">
      <c r="B18" t="s">
        <v>19</v>
      </c>
      <c r="C18" t="s">
        <v>2</v>
      </c>
      <c r="D18" s="1">
        <f>D8*D19*10^6*D20*10^-2</f>
        <v>3.4953518511756595E+19</v>
      </c>
      <c r="E18" t="s">
        <v>10</v>
      </c>
    </row>
    <row r="19" spans="3:11" ht="16.5" customHeight="1">
      <c r="C19" t="s">
        <v>3</v>
      </c>
      <c r="D19">
        <v>180.6</v>
      </c>
      <c r="E19" t="s">
        <v>31</v>
      </c>
      <c r="F19" s="4"/>
      <c r="G19" s="4" t="s">
        <v>15</v>
      </c>
      <c r="H19" s="3">
        <f>(D19/PI())^0.5</f>
        <v>7.5820027331037405</v>
      </c>
      <c r="I19" t="s">
        <v>14</v>
      </c>
      <c r="J19" s="4" t="s">
        <v>20</v>
      </c>
      <c r="K19" s="2">
        <f>H19/H14</f>
        <v>0.5000009132992608</v>
      </c>
    </row>
    <row r="20" spans="3:5" ht="16.5" customHeight="1">
      <c r="C20" t="s">
        <v>4</v>
      </c>
      <c r="D20" s="3">
        <f>(K19/(K19^3+K24^3+K29^3)*D15)</f>
        <v>413.54930989480215</v>
      </c>
      <c r="E20" t="s">
        <v>8</v>
      </c>
    </row>
    <row r="21" spans="3:5" ht="16.5" customHeight="1">
      <c r="C21" t="s">
        <v>5</v>
      </c>
      <c r="D21" s="3">
        <f>D16</f>
        <v>37.37555182227333</v>
      </c>
      <c r="E21" t="s">
        <v>18</v>
      </c>
    </row>
    <row r="22" spans="2:5" ht="16.5" customHeight="1">
      <c r="B22" s="7"/>
      <c r="C22" s="7" t="s">
        <v>6</v>
      </c>
      <c r="D22" s="8">
        <f>4*PI()*H19*10^3*D21*10^6*(D12*10^3)^2</f>
        <v>5.416398736797724E+19</v>
      </c>
      <c r="E22" s="7" t="s">
        <v>32</v>
      </c>
    </row>
    <row r="23" spans="2:5" ht="16.5" customHeight="1">
      <c r="B23" t="s">
        <v>21</v>
      </c>
      <c r="C23" t="s">
        <v>2</v>
      </c>
      <c r="D23" s="1">
        <f>D8*D24*10^6*D25*10^-2</f>
        <v>9.886347986397045E+19</v>
      </c>
      <c r="E23" t="s">
        <v>10</v>
      </c>
    </row>
    <row r="24" spans="3:11" ht="16.5" customHeight="1">
      <c r="C24" t="s">
        <v>3</v>
      </c>
      <c r="D24">
        <v>361.2</v>
      </c>
      <c r="E24" t="s">
        <v>31</v>
      </c>
      <c r="G24" s="4" t="s">
        <v>15</v>
      </c>
      <c r="H24" s="3">
        <f>(D24/PI())^0.5</f>
        <v>10.722571095105184</v>
      </c>
      <c r="I24" t="s">
        <v>14</v>
      </c>
      <c r="J24" s="4" t="s">
        <v>20</v>
      </c>
      <c r="K24" s="2">
        <f>H24/H14</f>
        <v>0.7071080727867487</v>
      </c>
    </row>
    <row r="25" spans="3:5" ht="16.5" customHeight="1">
      <c r="C25" t="s">
        <v>4</v>
      </c>
      <c r="D25" s="3">
        <f>(K24/(K19^3+K24^3+K29^3)*D15)</f>
        <v>584.8470427632633</v>
      </c>
      <c r="E25" t="s">
        <v>8</v>
      </c>
    </row>
    <row r="26" spans="3:5" ht="16.5" customHeight="1">
      <c r="C26" t="s">
        <v>5</v>
      </c>
      <c r="D26" s="3">
        <f>D16</f>
        <v>37.37555182227333</v>
      </c>
      <c r="E26" t="s">
        <v>18</v>
      </c>
    </row>
    <row r="27" spans="2:5" ht="16.5" customHeight="1">
      <c r="B27" s="7"/>
      <c r="C27" s="7" t="s">
        <v>6</v>
      </c>
      <c r="D27" s="8">
        <f>4*PI()*H24*10^3*D26*10^6*(D12*10^3)^2</f>
        <v>7.659944552799843E+19</v>
      </c>
      <c r="E27" s="7" t="s">
        <v>32</v>
      </c>
    </row>
    <row r="28" spans="2:5" ht="16.5" customHeight="1">
      <c r="B28" t="s">
        <v>22</v>
      </c>
      <c r="C28" t="s">
        <v>2</v>
      </c>
      <c r="D28" s="1">
        <f>D8*D29*10^6*D30*10^-2</f>
        <v>3.4953518511756595E+19</v>
      </c>
      <c r="E28" t="s">
        <v>10</v>
      </c>
    </row>
    <row r="29" spans="3:11" ht="16.5" customHeight="1">
      <c r="C29" t="s">
        <v>3</v>
      </c>
      <c r="D29">
        <v>180.6</v>
      </c>
      <c r="E29" t="s">
        <v>31</v>
      </c>
      <c r="G29" s="4" t="s">
        <v>15</v>
      </c>
      <c r="H29" s="3">
        <f>(D29/PI())^0.5</f>
        <v>7.5820027331037405</v>
      </c>
      <c r="I29" t="s">
        <v>14</v>
      </c>
      <c r="J29" s="4" t="s">
        <v>20</v>
      </c>
      <c r="K29" s="2">
        <f>H29/H14</f>
        <v>0.5000009132992608</v>
      </c>
    </row>
    <row r="30" spans="3:5" ht="16.5" customHeight="1">
      <c r="C30" t="s">
        <v>4</v>
      </c>
      <c r="D30" s="3">
        <f>(K29/(K19^3+K24^3+K29^3)*D15)</f>
        <v>413.54930989480215</v>
      </c>
      <c r="E30" t="s">
        <v>8</v>
      </c>
    </row>
    <row r="31" spans="3:5" ht="16.5" customHeight="1">
      <c r="C31" t="s">
        <v>5</v>
      </c>
      <c r="D31" s="3">
        <f>D21</f>
        <v>37.37555182227333</v>
      </c>
      <c r="E31" t="s">
        <v>18</v>
      </c>
    </row>
    <row r="32" spans="2:5" ht="16.5" customHeight="1">
      <c r="B32" s="7"/>
      <c r="C32" s="7" t="s">
        <v>6</v>
      </c>
      <c r="D32" s="8">
        <f>4*PI()*H29*10^3*D31*10^6*(D12*10^3)^2</f>
        <v>5.416398736797724E+19</v>
      </c>
      <c r="E32" s="7" t="s">
        <v>32</v>
      </c>
    </row>
    <row r="33" spans="2:5" ht="16.5" customHeight="1">
      <c r="B33" t="s">
        <v>23</v>
      </c>
      <c r="C33" t="s">
        <v>2</v>
      </c>
      <c r="D33" s="1">
        <f>D10-D13</f>
        <v>8.812294831125164E+20</v>
      </c>
      <c r="E33" t="s">
        <v>10</v>
      </c>
    </row>
    <row r="34" spans="3:9" ht="16.5" customHeight="1">
      <c r="C34" t="s">
        <v>3</v>
      </c>
      <c r="D34" s="3">
        <f>D9-D14</f>
        <v>8277.602639062314</v>
      </c>
      <c r="E34" t="s">
        <v>31</v>
      </c>
      <c r="G34" s="4" t="s">
        <v>15</v>
      </c>
      <c r="H34" s="3">
        <f>(D34/PI())^0.5</f>
        <v>51.330719397984</v>
      </c>
      <c r="I34" t="s">
        <v>14</v>
      </c>
    </row>
    <row r="35" spans="3:9" ht="16.5" customHeight="1">
      <c r="C35" t="s">
        <v>4</v>
      </c>
      <c r="D35" s="3">
        <f>D33/(D34*10^6)/D8*10^2</f>
        <v>227.4775757081948</v>
      </c>
      <c r="E35" t="s">
        <v>8</v>
      </c>
      <c r="G35" s="4" t="s">
        <v>24</v>
      </c>
      <c r="H35" s="3">
        <f>(D9/2)^0.5</f>
        <v>67.08203932499369</v>
      </c>
      <c r="I35" t="s">
        <v>14</v>
      </c>
    </row>
    <row r="36" spans="3:5" ht="16.5" customHeight="1">
      <c r="C36" t="s">
        <v>5</v>
      </c>
      <c r="D36" s="3">
        <f>(D35/H35)*(PI()^0.5/D15)*H14*(K19^3+K24^3+K29^3)*D16</f>
        <v>4.118618067167372</v>
      </c>
      <c r="E36" t="s">
        <v>18</v>
      </c>
    </row>
    <row r="37" spans="2:5" ht="16.5" customHeight="1">
      <c r="B37" s="7"/>
      <c r="C37" s="7" t="s">
        <v>6</v>
      </c>
      <c r="D37" s="8">
        <f>4*PI()*H34*10^3*D36*10^6*(D12*10^3)^2</f>
        <v>4.040805524698855E+19</v>
      </c>
      <c r="E37" s="7" t="s">
        <v>32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Y.Hisada</dc:creator>
  <cp:keywords/>
  <dc:description/>
  <cp:lastModifiedBy>krc-admin</cp:lastModifiedBy>
  <dcterms:created xsi:type="dcterms:W3CDTF">2011-08-02T07:28:43Z</dcterms:created>
  <dcterms:modified xsi:type="dcterms:W3CDTF">2011-09-18T10:33:06Z</dcterms:modified>
  <cp:category/>
  <cp:version/>
  <cp:contentType/>
  <cp:contentStatus/>
</cp:coreProperties>
</file>