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30" yWindow="600" windowWidth="18960" windowHeight="114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R53" i="1"/>
  <c r="R52"/>
  <c r="Q51"/>
  <c r="X22"/>
  <c r="W22"/>
  <c r="V22"/>
  <c r="U23"/>
  <c r="T23"/>
  <c r="F27"/>
  <c r="U25"/>
  <c r="U20"/>
  <c r="U18"/>
  <c r="U22" s="1"/>
  <c r="Q41"/>
  <c r="Q47"/>
  <c r="Q45"/>
  <c r="A13" s="1"/>
  <c r="Q39"/>
  <c r="Q37"/>
  <c r="O16"/>
  <c r="N16"/>
  <c r="M16"/>
  <c r="L16"/>
  <c r="K16"/>
  <c r="J16"/>
  <c r="I16"/>
  <c r="H16"/>
  <c r="G16"/>
  <c r="O15"/>
  <c r="N15"/>
  <c r="M15"/>
  <c r="L15"/>
  <c r="K15"/>
  <c r="J15"/>
  <c r="I15"/>
  <c r="H15"/>
  <c r="G15"/>
  <c r="O14"/>
  <c r="N14"/>
  <c r="M14"/>
  <c r="L14"/>
  <c r="K14"/>
  <c r="J14"/>
  <c r="I14"/>
  <c r="H14"/>
  <c r="G14"/>
  <c r="O13"/>
  <c r="N13"/>
  <c r="M13"/>
  <c r="L13"/>
  <c r="K13"/>
  <c r="J13"/>
  <c r="I13"/>
  <c r="H13"/>
  <c r="G13"/>
  <c r="O12"/>
  <c r="N12"/>
  <c r="M12"/>
  <c r="L12"/>
  <c r="K12"/>
  <c r="J12"/>
  <c r="I12"/>
  <c r="H12"/>
  <c r="G12"/>
  <c r="O11"/>
  <c r="N11"/>
  <c r="M11"/>
  <c r="L11"/>
  <c r="K11"/>
  <c r="J11"/>
  <c r="I11"/>
  <c r="H11"/>
  <c r="G11"/>
  <c r="O10"/>
  <c r="N10"/>
  <c r="M10"/>
  <c r="L10"/>
  <c r="K10"/>
  <c r="J10"/>
  <c r="I10"/>
  <c r="H10"/>
  <c r="G10"/>
  <c r="F16"/>
  <c r="F15"/>
  <c r="F14"/>
  <c r="F13"/>
  <c r="F12"/>
  <c r="F11"/>
  <c r="F10"/>
  <c r="C4"/>
  <c r="B4"/>
  <c r="A4"/>
  <c r="D2"/>
  <c r="D4" s="1"/>
  <c r="Q49" l="1"/>
  <c r="B13"/>
  <c r="C13" s="1"/>
  <c r="S41"/>
  <c r="S47" s="1"/>
  <c r="S49" s="1"/>
  <c r="H18"/>
  <c r="F22"/>
  <c r="M18"/>
  <c r="K20"/>
  <c r="I18"/>
  <c r="H19"/>
  <c r="L19"/>
  <c r="G20"/>
  <c r="O20"/>
  <c r="J21"/>
  <c r="N21"/>
  <c r="M22"/>
  <c r="H23"/>
  <c r="L23"/>
  <c r="K24"/>
  <c r="O24"/>
  <c r="M19"/>
  <c r="I22"/>
  <c r="G24"/>
  <c r="F19"/>
  <c r="H24"/>
  <c r="M23"/>
  <c r="M32" s="1"/>
  <c r="N22"/>
  <c r="O21"/>
  <c r="K21"/>
  <c r="G21"/>
  <c r="G30" s="1"/>
  <c r="L20"/>
  <c r="H20"/>
  <c r="I19"/>
  <c r="N18"/>
  <c r="N27" s="1"/>
  <c r="J18"/>
  <c r="F31"/>
  <c r="F24"/>
  <c r="F20"/>
  <c r="M24"/>
  <c r="M33" s="1"/>
  <c r="I24"/>
  <c r="I33" s="1"/>
  <c r="N23"/>
  <c r="N32" s="1"/>
  <c r="J23"/>
  <c r="J32" s="1"/>
  <c r="O22"/>
  <c r="O31" s="1"/>
  <c r="K22"/>
  <c r="K31" s="1"/>
  <c r="G22"/>
  <c r="G31" s="1"/>
  <c r="L21"/>
  <c r="L30" s="1"/>
  <c r="H21"/>
  <c r="H30" s="1"/>
  <c r="M20"/>
  <c r="M29" s="1"/>
  <c r="I20"/>
  <c r="N19"/>
  <c r="N28" s="1"/>
  <c r="J19"/>
  <c r="J28" s="1"/>
  <c r="O18"/>
  <c r="O27" s="1"/>
  <c r="K18"/>
  <c r="K27" s="1"/>
  <c r="G18"/>
  <c r="G27" s="1"/>
  <c r="F28"/>
  <c r="J27"/>
  <c r="I28"/>
  <c r="M28"/>
  <c r="H29"/>
  <c r="L29"/>
  <c r="K30"/>
  <c r="O30"/>
  <c r="N31"/>
  <c r="H33"/>
  <c r="F18"/>
  <c r="F21"/>
  <c r="N24"/>
  <c r="J24"/>
  <c r="O23"/>
  <c r="O32" s="1"/>
  <c r="K23"/>
  <c r="K32" s="1"/>
  <c r="G23"/>
  <c r="G32" s="1"/>
  <c r="L22"/>
  <c r="L31" s="1"/>
  <c r="H22"/>
  <c r="H31" s="1"/>
  <c r="M21"/>
  <c r="M30" s="1"/>
  <c r="I21"/>
  <c r="N20"/>
  <c r="N29" s="1"/>
  <c r="J20"/>
  <c r="J29" s="1"/>
  <c r="O19"/>
  <c r="O28" s="1"/>
  <c r="K19"/>
  <c r="K28" s="1"/>
  <c r="G19"/>
  <c r="G28" s="1"/>
  <c r="L18"/>
  <c r="L27" s="1"/>
  <c r="F33"/>
  <c r="I27"/>
  <c r="S27" s="1"/>
  <c r="M27"/>
  <c r="H28"/>
  <c r="L28"/>
  <c r="G29"/>
  <c r="K29"/>
  <c r="O29"/>
  <c r="J30"/>
  <c r="N30"/>
  <c r="I31"/>
  <c r="M31"/>
  <c r="H32"/>
  <c r="L32"/>
  <c r="G33"/>
  <c r="K33"/>
  <c r="O33"/>
  <c r="N33"/>
  <c r="Q27"/>
  <c r="H27"/>
  <c r="I30"/>
  <c r="J33"/>
  <c r="F23"/>
  <c r="L24"/>
  <c r="L33" s="1"/>
  <c r="I23"/>
  <c r="I32" s="1"/>
  <c r="J22"/>
  <c r="J31" s="1"/>
  <c r="B6"/>
  <c r="C6" s="1"/>
  <c r="D6" s="1"/>
  <c r="S18" l="1"/>
  <c r="Q19"/>
  <c r="F32"/>
  <c r="Q23"/>
  <c r="I29"/>
  <c r="S20"/>
  <c r="Q18"/>
  <c r="Q24"/>
  <c r="S19"/>
  <c r="F30"/>
  <c r="Q21"/>
  <c r="F29"/>
  <c r="Q20"/>
  <c r="S22"/>
  <c r="Q22"/>
  <c r="S21"/>
  <c r="S31"/>
  <c r="S30"/>
  <c r="S28"/>
  <c r="T34" s="1"/>
  <c r="S29"/>
  <c r="Q32"/>
  <c r="Q28"/>
  <c r="Q31"/>
  <c r="Q33"/>
  <c r="Q30"/>
  <c r="Q29"/>
  <c r="A8"/>
  <c r="B8" s="1"/>
  <c r="T18" l="1"/>
  <c r="T20" s="1"/>
  <c r="T22" s="1"/>
  <c r="R27"/>
  <c r="T27"/>
  <c r="T29" s="1"/>
  <c r="T31" s="1"/>
  <c r="T32" s="1"/>
  <c r="T35"/>
  <c r="S25"/>
  <c r="Q25"/>
  <c r="R25" s="1"/>
  <c r="R18"/>
  <c r="R20" s="1"/>
  <c r="R22" s="1"/>
  <c r="Q34"/>
  <c r="R34" s="1"/>
  <c r="R35" s="1"/>
  <c r="T25" l="1"/>
  <c r="R29"/>
  <c r="R31" s="1"/>
  <c r="R32" s="1"/>
  <c r="U27"/>
  <c r="W35"/>
  <c r="U34"/>
  <c r="U35" s="1"/>
  <c r="V35" s="1"/>
  <c r="U31" l="1"/>
  <c r="U32" s="1"/>
  <c r="U29"/>
</calcChain>
</file>

<file path=xl/sharedStrings.xml><?xml version="1.0" encoding="utf-8"?>
<sst xmlns="http://schemas.openxmlformats.org/spreadsheetml/2006/main" count="78" uniqueCount="49">
  <si>
    <t>ρpq(t/m3)</t>
    <phoneticPr fontId="2"/>
  </si>
  <si>
    <t>βpq(km/s)</t>
    <phoneticPr fontId="2"/>
  </si>
  <si>
    <t>S(km2)</t>
    <phoneticPr fontId="2"/>
  </si>
  <si>
    <t>λpq(km)</t>
    <phoneticPr fontId="2"/>
  </si>
  <si>
    <t>ρpq(kg/m3)</t>
    <phoneticPr fontId="2"/>
  </si>
  <si>
    <t>βpq(m/s)</t>
    <phoneticPr fontId="2"/>
  </si>
  <si>
    <t>S(m2)</t>
    <phoneticPr fontId="2"/>
  </si>
  <si>
    <t>λpq(m)</t>
    <phoneticPr fontId="2"/>
  </si>
  <si>
    <t>V11(m/s)</t>
    <phoneticPr fontId="2"/>
  </si>
  <si>
    <t>σ11(Pa=N/m2=kg/m/s2)</t>
    <phoneticPr fontId="2"/>
  </si>
  <si>
    <t>σ11(MPa)</t>
    <phoneticPr fontId="2"/>
  </si>
  <si>
    <t>σ11(bar)</t>
    <phoneticPr fontId="2"/>
  </si>
  <si>
    <t>A11(N/s2=kg・m/s2)</t>
    <phoneticPr fontId="2"/>
  </si>
  <si>
    <t>A11(dyn・cm/s2)</t>
    <phoneticPr fontId="2"/>
  </si>
  <si>
    <t>すべり速度最大値（m/s）</t>
    <rPh sb="3" eb="5">
      <t>ソクド</t>
    </rPh>
    <rPh sb="5" eb="8">
      <t>サイダイチ</t>
    </rPh>
    <phoneticPr fontId="2"/>
  </si>
  <si>
    <t>σpq(bar)</t>
    <phoneticPr fontId="2"/>
  </si>
  <si>
    <t>Apq(dyn・cm/s2)</t>
    <phoneticPr fontId="2"/>
  </si>
  <si>
    <t>二乗和平方</t>
  </si>
  <si>
    <t>二乗和</t>
    <phoneticPr fontId="2"/>
  </si>
  <si>
    <t>合計</t>
    <rPh sb="0" eb="2">
      <t>ゴウケイ</t>
    </rPh>
    <phoneticPr fontId="2"/>
  </si>
  <si>
    <t>すべり最大値（m）</t>
    <rPh sb="3" eb="5">
      <t>サイダイ</t>
    </rPh>
    <rPh sb="5" eb="6">
      <t>チ</t>
    </rPh>
    <phoneticPr fontId="2"/>
  </si>
  <si>
    <t>すべり最終値(m)</t>
    <rPh sb="3" eb="5">
      <t>サイシュウ</t>
    </rPh>
    <rPh sb="5" eb="6">
      <t>チ</t>
    </rPh>
    <phoneticPr fontId="2"/>
  </si>
  <si>
    <t>γs（アスペリティー面積比）</t>
    <rPh sb="10" eb="12">
      <t>メンセキ</t>
    </rPh>
    <rPh sb="12" eb="13">
      <t>ヒ</t>
    </rPh>
    <phoneticPr fontId="2"/>
  </si>
  <si>
    <t>地震モーメント(Nm)</t>
    <rPh sb="0" eb="2">
      <t>ジシン</t>
    </rPh>
    <phoneticPr fontId="2"/>
  </si>
  <si>
    <t>合計</t>
    <rPh sb="0" eb="2">
      <t>ゴウケイ</t>
    </rPh>
    <phoneticPr fontId="2"/>
  </si>
  <si>
    <t>背景合計</t>
    <rPh sb="0" eb="2">
      <t>ハイケイ</t>
    </rPh>
    <rPh sb="2" eb="4">
      <t>ゴウケイ</t>
    </rPh>
    <phoneticPr fontId="2"/>
  </si>
  <si>
    <t>γd（すべり量比）</t>
    <rPh sb="6" eb="7">
      <t>リョウ</t>
    </rPh>
    <rPh sb="7" eb="8">
      <t>ヒ</t>
    </rPh>
    <phoneticPr fontId="2"/>
  </si>
  <si>
    <t>全体平均値(m)</t>
    <rPh sb="0" eb="2">
      <t>ゼンタイ</t>
    </rPh>
    <rPh sb="2" eb="5">
      <t>ヘイキンチ</t>
    </rPh>
    <phoneticPr fontId="2"/>
  </si>
  <si>
    <t>アスペリティー合計</t>
    <rPh sb="7" eb="9">
      <t>ゴウケイ</t>
    </rPh>
    <phoneticPr fontId="2"/>
  </si>
  <si>
    <t>アスペリティー平均</t>
    <rPh sb="7" eb="9">
      <t>ヘイキン</t>
    </rPh>
    <phoneticPr fontId="2"/>
  </si>
  <si>
    <t>アスペリティー</t>
    <phoneticPr fontId="2"/>
  </si>
  <si>
    <t>背景</t>
    <rPh sb="0" eb="2">
      <t>ハイケイ</t>
    </rPh>
    <phoneticPr fontId="2"/>
  </si>
  <si>
    <t xml:space="preserve"> </t>
    <phoneticPr fontId="2"/>
  </si>
  <si>
    <t>γsγd*M0</t>
    <phoneticPr fontId="2"/>
  </si>
  <si>
    <t>Aasp（壇他）</t>
    <rPh sb="5" eb="6">
      <t>ダン</t>
    </rPh>
    <rPh sb="6" eb="7">
      <t>ホカ</t>
    </rPh>
    <phoneticPr fontId="2"/>
  </si>
  <si>
    <t>平均</t>
    <rPh sb="0" eb="2">
      <t>ヘイキン</t>
    </rPh>
    <phoneticPr fontId="2"/>
  </si>
  <si>
    <t>比</t>
    <rPh sb="0" eb="1">
      <t>ヒ</t>
    </rPh>
    <phoneticPr fontId="2"/>
  </si>
  <si>
    <t>全体A(dyn・cm/s2)</t>
    <rPh sb="0" eb="2">
      <t>ゼンタイ</t>
    </rPh>
    <phoneticPr fontId="2"/>
  </si>
  <si>
    <t>アスペリティ</t>
    <phoneticPr fontId="2"/>
  </si>
  <si>
    <t>全体M0(Nm)</t>
    <rPh sb="0" eb="2">
      <t>ゼンタイ</t>
    </rPh>
    <phoneticPr fontId="2"/>
  </si>
  <si>
    <t>合計平均</t>
    <rPh sb="0" eb="2">
      <t>ゴウケイ</t>
    </rPh>
    <rPh sb="2" eb="4">
      <t>ヘイキン</t>
    </rPh>
    <phoneticPr fontId="2"/>
  </si>
  <si>
    <t>平均Apq</t>
    <rPh sb="0" eb="2">
      <t>ヘイキン</t>
    </rPh>
    <phoneticPr fontId="2"/>
  </si>
  <si>
    <t>平均σpq</t>
    <rPh sb="0" eb="2">
      <t>ヘイキン</t>
    </rPh>
    <phoneticPr fontId="2"/>
  </si>
  <si>
    <t>γσ（実効応力比）</t>
    <rPh sb="3" eb="5">
      <t>ジッコウ</t>
    </rPh>
    <rPh sb="5" eb="7">
      <t>オウリョク</t>
    </rPh>
    <rPh sb="7" eb="8">
      <t>ヒ</t>
    </rPh>
    <phoneticPr fontId="2"/>
  </si>
  <si>
    <t>Asp平均σpq</t>
    <rPh sb="3" eb="5">
      <t>ヘイキン</t>
    </rPh>
    <phoneticPr fontId="2"/>
  </si>
  <si>
    <t>背景平均σpq</t>
    <rPh sb="0" eb="2">
      <t>ハイケイ</t>
    </rPh>
    <rPh sb="2" eb="4">
      <t>ヘイキン</t>
    </rPh>
    <phoneticPr fontId="2"/>
  </si>
  <si>
    <t>単純平均</t>
    <rPh sb="0" eb="2">
      <t>タンジュン</t>
    </rPh>
    <rPh sb="2" eb="4">
      <t>ヘイキン</t>
    </rPh>
    <phoneticPr fontId="2"/>
  </si>
  <si>
    <t>(1-γs)γsγσ^2</t>
    <phoneticPr fontId="2"/>
  </si>
  <si>
    <t>Aback</t>
    <phoneticPr fontId="2"/>
  </si>
</sst>
</file>

<file path=xl/styles.xml><?xml version="1.0" encoding="utf-8"?>
<styleSheet xmlns="http://schemas.openxmlformats.org/spreadsheetml/2006/main">
  <numFmts count="3">
    <numFmt numFmtId="176" formatCode="0.0000_ "/>
    <numFmt numFmtId="177" formatCode="0.000_ "/>
    <numFmt numFmtId="178" formatCode="0.00_ "/>
  </numFmts>
  <fonts count="7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177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7" fontId="0" fillId="2" borderId="1" xfId="0" applyNumberFormat="1" applyFill="1" applyBorder="1">
      <alignment vertical="center"/>
    </xf>
    <xf numFmtId="11" fontId="4" fillId="0" borderId="1" xfId="0" applyNumberFormat="1" applyFont="1" applyBorder="1">
      <alignment vertical="center"/>
    </xf>
    <xf numFmtId="11" fontId="4" fillId="2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11" fontId="0" fillId="0" borderId="0" xfId="0" applyNumberFormat="1">
      <alignment vertical="center"/>
    </xf>
    <xf numFmtId="11" fontId="0" fillId="0" borderId="1" xfId="0" applyNumberFormat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176" fontId="0" fillId="0" borderId="2" xfId="0" applyNumberFormat="1" applyBorder="1">
      <alignment vertical="center"/>
    </xf>
    <xf numFmtId="11" fontId="0" fillId="0" borderId="3" xfId="0" applyNumberFormat="1" applyBorder="1">
      <alignment vertical="center"/>
    </xf>
    <xf numFmtId="11" fontId="4" fillId="0" borderId="0" xfId="0" applyNumberFormat="1" applyFont="1" applyBorder="1">
      <alignment vertical="center"/>
    </xf>
    <xf numFmtId="11" fontId="0" fillId="0" borderId="5" xfId="0" applyNumberFormat="1" applyBorder="1">
      <alignment vertical="center"/>
    </xf>
    <xf numFmtId="0" fontId="6" fillId="3" borderId="4" xfId="0" applyFont="1" applyFill="1" applyBorder="1">
      <alignment vertical="center"/>
    </xf>
    <xf numFmtId="176" fontId="0" fillId="3" borderId="4" xfId="0" applyNumberFormat="1" applyFill="1" applyBorder="1">
      <alignment vertical="center"/>
    </xf>
    <xf numFmtId="176" fontId="6" fillId="3" borderId="4" xfId="0" applyNumberFormat="1" applyFont="1" applyFill="1" applyBorder="1">
      <alignment vertical="center"/>
    </xf>
    <xf numFmtId="0" fontId="0" fillId="3" borderId="4" xfId="0" applyFill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9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1" xfId="0" applyNumberFormat="1" applyFill="1" applyBorder="1">
      <alignment vertical="center"/>
    </xf>
    <xf numFmtId="176" fontId="0" fillId="2" borderId="13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1" fontId="0" fillId="0" borderId="6" xfId="0" applyNumberFormat="1" applyBorder="1">
      <alignment vertical="center"/>
    </xf>
    <xf numFmtId="11" fontId="0" fillId="0" borderId="7" xfId="0" applyNumberFormat="1" applyBorder="1">
      <alignment vertical="center"/>
    </xf>
    <xf numFmtId="11" fontId="0" fillId="0" borderId="14" xfId="0" applyNumberFormat="1" applyBorder="1">
      <alignment vertical="center"/>
    </xf>
    <xf numFmtId="11" fontId="0" fillId="2" borderId="6" xfId="0" applyNumberFormat="1" applyFill="1" applyBorder="1">
      <alignment vertical="center"/>
    </xf>
    <xf numFmtId="11" fontId="0" fillId="2" borderId="8" xfId="0" applyNumberFormat="1" applyFill="1" applyBorder="1">
      <alignment vertical="center"/>
    </xf>
    <xf numFmtId="11" fontId="0" fillId="0" borderId="15" xfId="0" applyNumberFormat="1" applyBorder="1">
      <alignment vertical="center"/>
    </xf>
    <xf numFmtId="11" fontId="0" fillId="0" borderId="18" xfId="0" applyNumberFormat="1" applyBorder="1">
      <alignment vertical="center"/>
    </xf>
    <xf numFmtId="11" fontId="0" fillId="0" borderId="8" xfId="0" applyNumberFormat="1" applyBorder="1">
      <alignment vertical="center"/>
    </xf>
    <xf numFmtId="11" fontId="0" fillId="0" borderId="9" xfId="0" applyNumberFormat="1" applyBorder="1">
      <alignment vertical="center"/>
    </xf>
    <xf numFmtId="11" fontId="0" fillId="0" borderId="2" xfId="0" applyNumberFormat="1" applyBorder="1">
      <alignment vertical="center"/>
    </xf>
    <xf numFmtId="11" fontId="0" fillId="2" borderId="9" xfId="0" applyNumberFormat="1" applyFill="1" applyBorder="1">
      <alignment vertical="center"/>
    </xf>
    <xf numFmtId="11" fontId="0" fillId="2" borderId="10" xfId="0" applyNumberFormat="1" applyFill="1" applyBorder="1">
      <alignment vertical="center"/>
    </xf>
    <xf numFmtId="11" fontId="0" fillId="0" borderId="17" xfId="0" applyNumberFormat="1" applyBorder="1">
      <alignment vertical="center"/>
    </xf>
    <xf numFmtId="11" fontId="0" fillId="2" borderId="11" xfId="0" applyNumberFormat="1" applyFill="1" applyBorder="1">
      <alignment vertical="center"/>
    </xf>
    <xf numFmtId="11" fontId="0" fillId="2" borderId="13" xfId="0" applyNumberFormat="1" applyFill="1" applyBorder="1">
      <alignment vertical="center"/>
    </xf>
    <xf numFmtId="11" fontId="0" fillId="0" borderId="16" xfId="0" applyNumberFormat="1" applyBorder="1">
      <alignment vertical="center"/>
    </xf>
    <xf numFmtId="11" fontId="0" fillId="0" borderId="10" xfId="0" applyNumberFormat="1" applyBorder="1">
      <alignment vertical="center"/>
    </xf>
    <xf numFmtId="11" fontId="0" fillId="0" borderId="11" xfId="0" applyNumberFormat="1" applyBorder="1">
      <alignment vertical="center"/>
    </xf>
    <xf numFmtId="11" fontId="0" fillId="0" borderId="12" xfId="0" applyNumberFormat="1" applyBorder="1">
      <alignment vertical="center"/>
    </xf>
    <xf numFmtId="11" fontId="0" fillId="0" borderId="13" xfId="0" applyNumberFormat="1" applyBorder="1">
      <alignment vertical="center"/>
    </xf>
    <xf numFmtId="11" fontId="0" fillId="3" borderId="4" xfId="0" applyNumberFormat="1" applyFill="1" applyBorder="1">
      <alignment vertical="center"/>
    </xf>
    <xf numFmtId="11" fontId="6" fillId="3" borderId="4" xfId="0" applyNumberFormat="1" applyFont="1" applyFill="1" applyBorder="1">
      <alignment vertical="center"/>
    </xf>
    <xf numFmtId="0" fontId="5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4" xfId="0" applyNumberFormat="1" applyBorder="1">
      <alignment vertical="center"/>
    </xf>
    <xf numFmtId="0" fontId="6" fillId="3" borderId="4" xfId="0" applyNumberFormat="1" applyFont="1" applyFill="1" applyBorder="1">
      <alignment vertical="center"/>
    </xf>
    <xf numFmtId="0" fontId="0" fillId="3" borderId="4" xfId="0" applyNumberFormat="1" applyFill="1" applyBorder="1">
      <alignment vertical="center"/>
    </xf>
    <xf numFmtId="178" fontId="0" fillId="3" borderId="4" xfId="0" applyNumberFormat="1" applyFill="1" applyBorder="1">
      <alignment vertical="center"/>
    </xf>
    <xf numFmtId="178" fontId="0" fillId="0" borderId="0" xfId="0" applyNumberFormat="1">
      <alignment vertical="center"/>
    </xf>
    <xf numFmtId="178" fontId="6" fillId="3" borderId="4" xfId="0" applyNumberFormat="1" applyFont="1" applyFill="1" applyBorder="1">
      <alignment vertical="center"/>
    </xf>
    <xf numFmtId="178" fontId="6" fillId="3" borderId="19" xfId="0" applyNumberFormat="1" applyFont="1" applyFill="1" applyBorder="1">
      <alignment vertical="center"/>
    </xf>
    <xf numFmtId="178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3"/>
  <sheetViews>
    <sheetView tabSelected="1" topLeftCell="D13" workbookViewId="0">
      <selection activeCell="T22" sqref="T22"/>
    </sheetView>
  </sheetViews>
  <sheetFormatPr defaultRowHeight="13.5"/>
  <cols>
    <col min="1" max="2" width="10.75" customWidth="1"/>
    <col min="3" max="3" width="10.5" bestFit="1" customWidth="1"/>
    <col min="5" max="5" width="2.625" style="4" customWidth="1"/>
    <col min="6" max="15" width="8" style="2" customWidth="1"/>
    <col min="16" max="16" width="2" style="13" customWidth="1"/>
    <col min="17" max="17" width="9.75" customWidth="1"/>
    <col min="18" max="19" width="11.125" customWidth="1"/>
    <col min="20" max="20" width="9.37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F1" s="2" t="s">
        <v>20</v>
      </c>
    </row>
    <row r="2" spans="1:15">
      <c r="A2">
        <v>2.7</v>
      </c>
      <c r="B2">
        <v>3.53</v>
      </c>
      <c r="C2">
        <v>130</v>
      </c>
      <c r="D2">
        <f>SQRT(C2/PI())</f>
        <v>6.4327509825806866</v>
      </c>
      <c r="E2" s="4">
        <v>1</v>
      </c>
      <c r="F2" s="3">
        <v>0.69017244946462475</v>
      </c>
      <c r="G2" s="3">
        <v>0.24980024019203823</v>
      </c>
      <c r="H2" s="3">
        <v>0.79698588444212748</v>
      </c>
      <c r="I2" s="6">
        <v>0.98488588171422176</v>
      </c>
      <c r="J2" s="6">
        <v>0.7641089778297333</v>
      </c>
      <c r="K2" s="3">
        <v>0.60639513520476074</v>
      </c>
      <c r="L2" s="3">
        <v>0.63864977883030694</v>
      </c>
      <c r="M2" s="3">
        <v>0.32975166413530049</v>
      </c>
      <c r="N2" s="3">
        <v>0.64977997814644917</v>
      </c>
      <c r="O2" s="3">
        <v>0.81545633850010646</v>
      </c>
    </row>
    <row r="3" spans="1:15">
      <c r="A3" t="s">
        <v>4</v>
      </c>
      <c r="B3" t="s">
        <v>5</v>
      </c>
      <c r="C3" t="s">
        <v>6</v>
      </c>
      <c r="D3" t="s">
        <v>7</v>
      </c>
      <c r="E3" s="4">
        <v>2</v>
      </c>
      <c r="F3" s="3">
        <v>0.52920230536156965</v>
      </c>
      <c r="G3" s="3">
        <v>0.12001733208166226</v>
      </c>
      <c r="H3" s="3">
        <v>1.1054457291065898</v>
      </c>
      <c r="I3" s="6">
        <v>1.1232555986951498</v>
      </c>
      <c r="J3" s="6">
        <v>0.93812543404387028</v>
      </c>
      <c r="K3" s="3">
        <v>0.94663040306130031</v>
      </c>
      <c r="L3" s="3">
        <v>0.69550517611301788</v>
      </c>
      <c r="M3" s="6">
        <v>1.0205569900794371</v>
      </c>
      <c r="N3" s="6">
        <v>1.3818254484557737</v>
      </c>
      <c r="O3" s="3">
        <v>1.0521937179055956</v>
      </c>
    </row>
    <row r="4" spans="1:15">
      <c r="A4">
        <f>A2*1000</f>
        <v>2700</v>
      </c>
      <c r="B4">
        <f>B2*1000</f>
        <v>3530</v>
      </c>
      <c r="C4">
        <f>C2*1000*1000</f>
        <v>130000000</v>
      </c>
      <c r="D4">
        <f>D2*1000</f>
        <v>6432.7509825806865</v>
      </c>
      <c r="E4" s="4">
        <v>3</v>
      </c>
      <c r="F4" s="3">
        <v>0.87228507381474774</v>
      </c>
      <c r="G4" s="3">
        <v>0.44431254765086253</v>
      </c>
      <c r="H4" s="3">
        <v>1.2747808478322853</v>
      </c>
      <c r="I4" s="6">
        <v>1.3109796642206164</v>
      </c>
      <c r="J4" s="6">
        <v>1.5863431816602611</v>
      </c>
      <c r="K4" s="3">
        <v>1.141115966937629</v>
      </c>
      <c r="L4" s="3">
        <v>0.82988389549382147</v>
      </c>
      <c r="M4" s="6">
        <v>1.3178597952741407</v>
      </c>
      <c r="N4" s="6">
        <v>2.2792255614572245</v>
      </c>
      <c r="O4" s="3">
        <v>0.93908599180266761</v>
      </c>
    </row>
    <row r="5" spans="1:15">
      <c r="A5" s="1" t="s">
        <v>8</v>
      </c>
      <c r="B5" t="s">
        <v>9</v>
      </c>
      <c r="C5" t="s">
        <v>10</v>
      </c>
      <c r="D5" s="1" t="s">
        <v>11</v>
      </c>
      <c r="E5" s="4">
        <v>4</v>
      </c>
      <c r="F5" s="3">
        <v>0.93178809286232023</v>
      </c>
      <c r="G5" s="3">
        <v>0.50257341752225615</v>
      </c>
      <c r="H5" s="3">
        <v>0.64606861864665743</v>
      </c>
      <c r="I5" s="6">
        <v>1.2669744275240917</v>
      </c>
      <c r="J5" s="6">
        <v>1.6544357164906711</v>
      </c>
      <c r="K5" s="3">
        <v>1.1832051766282972</v>
      </c>
      <c r="L5" s="3">
        <v>1.042451955727457</v>
      </c>
      <c r="M5" s="6">
        <v>1.0147608585277617</v>
      </c>
      <c r="N5" s="6">
        <v>1.2227109102318503</v>
      </c>
      <c r="O5" s="3">
        <v>0.91114856088345986</v>
      </c>
    </row>
    <row r="6" spans="1:15">
      <c r="A6" s="1">
        <v>0.46010000000000001</v>
      </c>
      <c r="B6">
        <f>A4*B4*A6/2</f>
        <v>2192606.5499999998</v>
      </c>
      <c r="C6">
        <f>B6/1000/1000</f>
        <v>2.1926065499999998</v>
      </c>
      <c r="D6" s="1">
        <f>C6*10</f>
        <v>21.9260655</v>
      </c>
      <c r="E6" s="4">
        <v>5</v>
      </c>
      <c r="F6" s="3">
        <v>0.42433090860789291</v>
      </c>
      <c r="G6" s="3">
        <v>0.57259139008546056</v>
      </c>
      <c r="H6" s="3">
        <v>0.40600169950383214</v>
      </c>
      <c r="I6" s="6">
        <v>1.2561308729587057</v>
      </c>
      <c r="J6" s="6">
        <v>1.1695201751145639</v>
      </c>
      <c r="K6" s="3">
        <v>0.83486276716595764</v>
      </c>
      <c r="L6" s="3">
        <v>1.0969362880313516</v>
      </c>
      <c r="M6" s="3">
        <v>0.79525614112686993</v>
      </c>
      <c r="N6" s="3">
        <v>0.55536648260405486</v>
      </c>
      <c r="O6" s="3">
        <v>0.42917284396848782</v>
      </c>
    </row>
    <row r="7" spans="1:15">
      <c r="A7" t="s">
        <v>12</v>
      </c>
      <c r="B7" s="1" t="s">
        <v>13</v>
      </c>
      <c r="E7" s="4">
        <v>6</v>
      </c>
      <c r="F7" s="3">
        <v>0.51135921816273144</v>
      </c>
      <c r="G7" s="3">
        <v>0.31718666428461334</v>
      </c>
      <c r="H7" s="3">
        <v>0.23471195112307341</v>
      </c>
      <c r="I7" s="3">
        <v>0.9411539353368289</v>
      </c>
      <c r="J7" s="3">
        <v>0.6027554811032414</v>
      </c>
      <c r="K7" s="3">
        <v>0.67554141249815325</v>
      </c>
      <c r="L7" s="3">
        <v>0.86431388974145273</v>
      </c>
      <c r="M7" s="3">
        <v>0.75590180579226041</v>
      </c>
      <c r="N7" s="3">
        <v>1.0630518566843292</v>
      </c>
      <c r="O7" s="3">
        <v>0.6704082636722194</v>
      </c>
    </row>
    <row r="8" spans="1:15">
      <c r="A8">
        <f>4*PI()*D4*B6*B4*B4</f>
        <v>2.2085982400216737E+18</v>
      </c>
      <c r="B8" s="1">
        <f>A8*10^5*100</f>
        <v>2.2085982400216736E+25</v>
      </c>
      <c r="E8" s="4">
        <v>7</v>
      </c>
      <c r="F8" s="3">
        <v>0.44924973010565072</v>
      </c>
      <c r="G8" s="3">
        <v>0.36033922906061727</v>
      </c>
      <c r="H8" s="3">
        <v>0.36852120698814611</v>
      </c>
      <c r="I8" s="3">
        <v>0.89738671708466911</v>
      </c>
      <c r="J8" s="3">
        <v>0.71141910292035315</v>
      </c>
      <c r="K8" s="3">
        <v>0.63224622576967593</v>
      </c>
      <c r="L8" s="3">
        <v>0.69859748782829156</v>
      </c>
      <c r="M8" s="3">
        <v>1.0686162313946013</v>
      </c>
      <c r="N8" s="3">
        <v>0.87727410197725553</v>
      </c>
      <c r="O8" s="3">
        <v>0.87789880965860745</v>
      </c>
    </row>
    <row r="9" spans="1:15">
      <c r="F9" s="2" t="s">
        <v>14</v>
      </c>
    </row>
    <row r="10" spans="1:15" ht="14.25" thickBot="1">
      <c r="A10" s="10" t="s">
        <v>37</v>
      </c>
      <c r="B10" t="s">
        <v>38</v>
      </c>
      <c r="C10" t="s">
        <v>31</v>
      </c>
      <c r="E10" s="4">
        <v>1</v>
      </c>
      <c r="F10" s="3">
        <f>F2/1.5</f>
        <v>0.46011496630974985</v>
      </c>
      <c r="G10" s="3">
        <f t="shared" ref="G10:O10" si="0">G2/1.5</f>
        <v>0.16653349346135882</v>
      </c>
      <c r="H10" s="3">
        <f t="shared" si="0"/>
        <v>0.53132392296141828</v>
      </c>
      <c r="I10" s="6">
        <f t="shared" si="0"/>
        <v>0.65659058780948121</v>
      </c>
      <c r="J10" s="6">
        <f t="shared" si="0"/>
        <v>0.50940598521982217</v>
      </c>
      <c r="K10" s="3">
        <f t="shared" si="0"/>
        <v>0.40426342346984051</v>
      </c>
      <c r="L10" s="3">
        <f t="shared" si="0"/>
        <v>0.42576651922020464</v>
      </c>
      <c r="M10" s="3">
        <f t="shared" si="0"/>
        <v>0.219834442756867</v>
      </c>
      <c r="N10" s="3">
        <f t="shared" si="0"/>
        <v>0.4331866520976328</v>
      </c>
      <c r="O10" s="15">
        <f t="shared" si="0"/>
        <v>0.54363755900007094</v>
      </c>
    </row>
    <row r="11" spans="1:15" ht="14.25" thickBot="1">
      <c r="A11" s="64">
        <v>2.4612999773231975E+26</v>
      </c>
      <c r="B11" s="63">
        <v>1.6820298007107855E+26</v>
      </c>
      <c r="C11" s="63">
        <v>1.7968787738442477E+26</v>
      </c>
      <c r="E11" s="4">
        <v>2</v>
      </c>
      <c r="F11" s="3">
        <f t="shared" ref="F11:O16" si="1">F3/1.5</f>
        <v>0.3528015369077131</v>
      </c>
      <c r="G11" s="3">
        <f t="shared" si="1"/>
        <v>8.0011554721108172E-2</v>
      </c>
      <c r="H11" s="3">
        <f t="shared" si="1"/>
        <v>0.73696381940439315</v>
      </c>
      <c r="I11" s="6">
        <f t="shared" si="1"/>
        <v>0.74883706579676657</v>
      </c>
      <c r="J11" s="6">
        <f t="shared" si="1"/>
        <v>0.62541695602924685</v>
      </c>
      <c r="K11" s="3">
        <f t="shared" si="1"/>
        <v>0.63108693537420024</v>
      </c>
      <c r="L11" s="3">
        <f t="shared" si="1"/>
        <v>0.46367011740867858</v>
      </c>
      <c r="M11" s="6">
        <f t="shared" si="1"/>
        <v>0.68037132671962475</v>
      </c>
      <c r="N11" s="6">
        <f t="shared" si="1"/>
        <v>0.92121696563718247</v>
      </c>
      <c r="O11" s="15">
        <f t="shared" si="1"/>
        <v>0.70146247860373034</v>
      </c>
    </row>
    <row r="12" spans="1:15" ht="14.25" thickBot="1">
      <c r="A12" s="2" t="s">
        <v>39</v>
      </c>
      <c r="B12" t="s">
        <v>38</v>
      </c>
      <c r="C12" t="s">
        <v>31</v>
      </c>
      <c r="E12" s="4">
        <v>3</v>
      </c>
      <c r="F12" s="3">
        <f t="shared" si="1"/>
        <v>0.58152338254316516</v>
      </c>
      <c r="G12" s="3">
        <f t="shared" si="1"/>
        <v>0.29620836510057502</v>
      </c>
      <c r="H12" s="3">
        <f t="shared" si="1"/>
        <v>0.84985389855485682</v>
      </c>
      <c r="I12" s="6">
        <f t="shared" si="1"/>
        <v>0.87398644281374427</v>
      </c>
      <c r="J12" s="6">
        <f t="shared" si="1"/>
        <v>1.0575621211068407</v>
      </c>
      <c r="K12" s="3">
        <f t="shared" si="1"/>
        <v>0.7607439779584193</v>
      </c>
      <c r="L12" s="3">
        <f t="shared" si="1"/>
        <v>0.55325593032921427</v>
      </c>
      <c r="M12" s="6">
        <f t="shared" si="1"/>
        <v>0.87857319684942714</v>
      </c>
      <c r="N12" s="6">
        <f t="shared" si="1"/>
        <v>1.5194837076381498</v>
      </c>
      <c r="O12" s="15">
        <f t="shared" si="1"/>
        <v>0.62605732786844503</v>
      </c>
    </row>
    <row r="13" spans="1:15" ht="14.25" thickBot="1">
      <c r="A13" s="64">
        <f>Q45</f>
        <v>9.9352587240600293E+20</v>
      </c>
      <c r="B13" s="63">
        <f>Q47</f>
        <v>4.145605346775966E+20</v>
      </c>
      <c r="C13" s="63">
        <f>A13-B13</f>
        <v>5.7896533772840632E+20</v>
      </c>
      <c r="E13" s="4">
        <v>4</v>
      </c>
      <c r="F13" s="3">
        <f t="shared" si="1"/>
        <v>0.62119206190821352</v>
      </c>
      <c r="G13" s="3">
        <f t="shared" si="1"/>
        <v>0.33504894501483745</v>
      </c>
      <c r="H13" s="3">
        <f t="shared" si="1"/>
        <v>0.43071241243110497</v>
      </c>
      <c r="I13" s="6">
        <f t="shared" si="1"/>
        <v>0.84464961834939445</v>
      </c>
      <c r="J13" s="6">
        <f t="shared" si="1"/>
        <v>1.102957144327114</v>
      </c>
      <c r="K13" s="3">
        <f t="shared" si="1"/>
        <v>0.7888034510855314</v>
      </c>
      <c r="L13" s="3">
        <f t="shared" si="1"/>
        <v>0.69496797048497128</v>
      </c>
      <c r="M13" s="6">
        <f t="shared" si="1"/>
        <v>0.67650723901850773</v>
      </c>
      <c r="N13" s="6">
        <f t="shared" si="1"/>
        <v>0.81514060682123357</v>
      </c>
      <c r="O13" s="15">
        <f t="shared" si="1"/>
        <v>0.60743237392230653</v>
      </c>
    </row>
    <row r="14" spans="1:15">
      <c r="E14" s="4">
        <v>5</v>
      </c>
      <c r="F14" s="3">
        <f t="shared" si="1"/>
        <v>0.28288727240526196</v>
      </c>
      <c r="G14" s="3">
        <f t="shared" si="1"/>
        <v>0.38172759339030704</v>
      </c>
      <c r="H14" s="3">
        <f t="shared" si="1"/>
        <v>0.27066779966922144</v>
      </c>
      <c r="I14" s="6">
        <f t="shared" si="1"/>
        <v>0.83742058197247049</v>
      </c>
      <c r="J14" s="6">
        <f t="shared" si="1"/>
        <v>0.77968011674304261</v>
      </c>
      <c r="K14" s="3">
        <f t="shared" si="1"/>
        <v>0.55657517811063839</v>
      </c>
      <c r="L14" s="3">
        <f t="shared" si="1"/>
        <v>0.73129085868756771</v>
      </c>
      <c r="M14" s="3">
        <f t="shared" si="1"/>
        <v>0.53017076075124658</v>
      </c>
      <c r="N14" s="3">
        <f t="shared" si="1"/>
        <v>0.37024432173603655</v>
      </c>
      <c r="O14" s="15">
        <f t="shared" si="1"/>
        <v>0.28611522931232519</v>
      </c>
    </row>
    <row r="15" spans="1:15">
      <c r="E15" s="4">
        <v>6</v>
      </c>
      <c r="F15" s="3">
        <f t="shared" si="1"/>
        <v>0.34090614544182096</v>
      </c>
      <c r="G15" s="3">
        <f t="shared" si="1"/>
        <v>0.21145777618974224</v>
      </c>
      <c r="H15" s="3">
        <f t="shared" si="1"/>
        <v>0.15647463408204895</v>
      </c>
      <c r="I15" s="3">
        <f t="shared" si="1"/>
        <v>0.62743595689121923</v>
      </c>
      <c r="J15" s="3">
        <f t="shared" si="1"/>
        <v>0.40183698740216095</v>
      </c>
      <c r="K15" s="3">
        <f t="shared" si="1"/>
        <v>0.4503609416654355</v>
      </c>
      <c r="L15" s="3">
        <f t="shared" si="1"/>
        <v>0.57620925982763516</v>
      </c>
      <c r="M15" s="3">
        <f t="shared" si="1"/>
        <v>0.50393453719484027</v>
      </c>
      <c r="N15" s="3">
        <f t="shared" si="1"/>
        <v>0.70870123778955285</v>
      </c>
      <c r="O15" s="15">
        <f t="shared" si="1"/>
        <v>0.44693884244814625</v>
      </c>
    </row>
    <row r="16" spans="1:15">
      <c r="E16" s="4">
        <v>7</v>
      </c>
      <c r="F16" s="3">
        <f t="shared" si="1"/>
        <v>0.2994998200704338</v>
      </c>
      <c r="G16" s="3">
        <f t="shared" si="1"/>
        <v>0.24022615270707817</v>
      </c>
      <c r="H16" s="3">
        <f t="shared" si="1"/>
        <v>0.24568080465876407</v>
      </c>
      <c r="I16" s="3">
        <f t="shared" si="1"/>
        <v>0.5982578113897794</v>
      </c>
      <c r="J16" s="3">
        <f t="shared" si="1"/>
        <v>0.4742794019469021</v>
      </c>
      <c r="K16" s="3">
        <f t="shared" si="1"/>
        <v>0.42149748384645064</v>
      </c>
      <c r="L16" s="3">
        <f t="shared" si="1"/>
        <v>0.46573165855219439</v>
      </c>
      <c r="M16" s="3">
        <f t="shared" si="1"/>
        <v>0.71241082092973418</v>
      </c>
      <c r="N16" s="3">
        <f t="shared" si="1"/>
        <v>0.58484940131817031</v>
      </c>
      <c r="O16" s="15">
        <f t="shared" si="1"/>
        <v>0.5852658731057383</v>
      </c>
    </row>
    <row r="17" spans="5:24" ht="14.25" thickBot="1">
      <c r="F17" s="2" t="s">
        <v>15</v>
      </c>
      <c r="Q17" s="65" t="s">
        <v>18</v>
      </c>
      <c r="R17" s="66" t="s">
        <v>24</v>
      </c>
      <c r="S17" s="66" t="s">
        <v>30</v>
      </c>
      <c r="T17" s="66" t="s">
        <v>24</v>
      </c>
      <c r="U17" s="66" t="s">
        <v>31</v>
      </c>
    </row>
    <row r="18" spans="5:24" ht="14.25" thickBot="1">
      <c r="E18" s="4">
        <v>1</v>
      </c>
      <c r="F18" s="5">
        <f>$A$4*$B$4*F10/2/1000/100</f>
        <v>21.926778719491132</v>
      </c>
      <c r="G18" s="5">
        <f t="shared" ref="G18:O18" si="2">$A$4*$B$4*G10/2/1000/100</f>
        <v>7.936153630901055</v>
      </c>
      <c r="H18" s="5">
        <f t="shared" si="2"/>
        <v>25.320241548726386</v>
      </c>
      <c r="I18" s="7">
        <f t="shared" si="2"/>
        <v>31.289824462060825</v>
      </c>
      <c r="J18" s="7">
        <f t="shared" si="2"/>
        <v>24.275742225650625</v>
      </c>
      <c r="K18" s="5">
        <f t="shared" si="2"/>
        <v>19.26517344545525</v>
      </c>
      <c r="L18" s="5">
        <f t="shared" si="2"/>
        <v>20.289903473438851</v>
      </c>
      <c r="M18" s="5">
        <f t="shared" si="2"/>
        <v>10.476210369578498</v>
      </c>
      <c r="N18" s="5">
        <f t="shared" si="2"/>
        <v>20.643509905712691</v>
      </c>
      <c r="O18" s="5">
        <f t="shared" si="2"/>
        <v>25.907047874148379</v>
      </c>
      <c r="P18" s="14"/>
      <c r="Q18" s="67">
        <f>F18^2+G18^2+H18^2+I18^2+J18^2+K18^2+L18^2+M18^2+N18^2+O18^2</f>
        <v>4743.1532723587379</v>
      </c>
      <c r="R18" s="71">
        <f>SUM(Q18:Q24)</f>
        <v>59705.874834620714</v>
      </c>
      <c r="S18" s="66">
        <f>I18^2+J18^2</f>
        <v>1568.3647754728167</v>
      </c>
      <c r="T18" s="71">
        <f>SUM(S18:S22)</f>
        <v>27884.017250399906</v>
      </c>
      <c r="U18" s="71">
        <f>R18-T18</f>
        <v>31821.857584220808</v>
      </c>
    </row>
    <row r="19" spans="5:24" ht="14.25" thickBot="1">
      <c r="E19" s="4">
        <v>2</v>
      </c>
      <c r="F19" s="5">
        <f t="shared" ref="F19:O24" si="3">$A$4*$B$4*F11/2/1000/100</f>
        <v>16.812757241337071</v>
      </c>
      <c r="G19" s="5">
        <f t="shared" si="3"/>
        <v>3.8129506402344102</v>
      </c>
      <c r="H19" s="5">
        <f t="shared" si="3"/>
        <v>35.120010813716355</v>
      </c>
      <c r="I19" s="7">
        <f t="shared" si="3"/>
        <v>35.685830370544913</v>
      </c>
      <c r="J19" s="7">
        <f t="shared" si="3"/>
        <v>29.804245039573757</v>
      </c>
      <c r="K19" s="5">
        <f t="shared" si="3"/>
        <v>30.074447905257511</v>
      </c>
      <c r="L19" s="5">
        <f t="shared" si="3"/>
        <v>22.096199445110578</v>
      </c>
      <c r="M19" s="7">
        <f t="shared" si="3"/>
        <v>32.423095574823712</v>
      </c>
      <c r="N19" s="7">
        <f t="shared" si="3"/>
        <v>43.900594497439926</v>
      </c>
      <c r="O19" s="5">
        <f t="shared" si="3"/>
        <v>33.428194417860766</v>
      </c>
      <c r="P19" s="14"/>
      <c r="Q19" s="67">
        <f t="shared" ref="Q19:Q24" si="4">F19^2+G19^2+H19^2+I19^2+J19^2+K19^2+L19^2+M19^2+N19^2+O19^2</f>
        <v>9181.0720224560682</v>
      </c>
      <c r="R19" s="66" t="s">
        <v>40</v>
      </c>
      <c r="S19" s="66">
        <f>I19^2+J19^2+M19^2+N19^2</f>
        <v>5140.2908354970677</v>
      </c>
      <c r="T19" s="66" t="s">
        <v>40</v>
      </c>
      <c r="U19" s="66" t="s">
        <v>40</v>
      </c>
    </row>
    <row r="20" spans="5:24" ht="14.25" thickBot="1">
      <c r="E20" s="4">
        <v>3</v>
      </c>
      <c r="F20" s="5">
        <f t="shared" si="3"/>
        <v>27.712496795094534</v>
      </c>
      <c r="G20" s="5">
        <f t="shared" si="3"/>
        <v>14.115809638867901</v>
      </c>
      <c r="H20" s="5">
        <f t="shared" si="3"/>
        <v>40.499787535631704</v>
      </c>
      <c r="I20" s="7">
        <f t="shared" si="3"/>
        <v>41.649823932288982</v>
      </c>
      <c r="J20" s="7">
        <f t="shared" si="3"/>
        <v>50.398122881346488</v>
      </c>
      <c r="K20" s="5">
        <f t="shared" si="3"/>
        <v>36.253254269608476</v>
      </c>
      <c r="L20" s="5">
        <f t="shared" si="3"/>
        <v>26.36541135983871</v>
      </c>
      <c r="M20" s="7">
        <f t="shared" si="3"/>
        <v>41.868405695859444</v>
      </c>
      <c r="N20" s="7">
        <f t="shared" si="3"/>
        <v>72.410996087496031</v>
      </c>
      <c r="O20" s="5">
        <f t="shared" si="3"/>
        <v>29.834761959570745</v>
      </c>
      <c r="P20" s="14"/>
      <c r="Q20" s="67">
        <f t="shared" si="4"/>
        <v>16778.01210675525</v>
      </c>
      <c r="R20" s="71">
        <f>R18/70</f>
        <v>852.94106906601019</v>
      </c>
      <c r="S20" s="66">
        <f t="shared" ref="S20:S21" si="5">I20^2+J20^2+M20^2+N20^2</f>
        <v>11270.994373450412</v>
      </c>
      <c r="T20" s="71">
        <f>T18/16</f>
        <v>1742.7510781499941</v>
      </c>
      <c r="U20" s="71">
        <f>U18/54</f>
        <v>589.29365896705201</v>
      </c>
      <c r="V20" t="s">
        <v>46</v>
      </c>
    </row>
    <row r="21" spans="5:24" ht="14.25" thickBot="1">
      <c r="E21" s="4">
        <v>4</v>
      </c>
      <c r="F21" s="5">
        <f t="shared" si="3"/>
        <v>29.602907710235915</v>
      </c>
      <c r="G21" s="5">
        <f t="shared" si="3"/>
        <v>15.966757474682078</v>
      </c>
      <c r="H21" s="5">
        <f t="shared" si="3"/>
        <v>20.525600014404308</v>
      </c>
      <c r="I21" s="7">
        <f t="shared" si="3"/>
        <v>40.251777562440395</v>
      </c>
      <c r="J21" s="7">
        <f t="shared" si="3"/>
        <v>52.561422712908616</v>
      </c>
      <c r="K21" s="5">
        <f t="shared" si="3"/>
        <v>37.590428461480997</v>
      </c>
      <c r="L21" s="5">
        <f t="shared" si="3"/>
        <v>33.118698633461307</v>
      </c>
      <c r="M21" s="7">
        <f t="shared" si="3"/>
        <v>32.238952475426984</v>
      </c>
      <c r="N21" s="7">
        <f t="shared" si="3"/>
        <v>38.845525618065885</v>
      </c>
      <c r="O21" s="5">
        <f t="shared" si="3"/>
        <v>28.947189779267514</v>
      </c>
      <c r="P21" s="14"/>
      <c r="Q21" s="67">
        <f t="shared" si="4"/>
        <v>11831.631724113955</v>
      </c>
      <c r="R21" s="66" t="s">
        <v>42</v>
      </c>
      <c r="S21" s="66">
        <f t="shared" si="5"/>
        <v>6931.2336717978978</v>
      </c>
      <c r="T21" s="66" t="s">
        <v>44</v>
      </c>
      <c r="U21" s="66" t="s">
        <v>45</v>
      </c>
      <c r="V21" s="66" t="s">
        <v>42</v>
      </c>
      <c r="W21" s="66" t="s">
        <v>44</v>
      </c>
      <c r="X21" s="66" t="s">
        <v>45</v>
      </c>
    </row>
    <row r="22" spans="5:24" ht="14.25" thickBot="1">
      <c r="E22" s="4">
        <v>5</v>
      </c>
      <c r="F22" s="5">
        <f t="shared" si="3"/>
        <v>13.480992966472758</v>
      </c>
      <c r="G22" s="5">
        <f t="shared" si="3"/>
        <v>18.191228463015083</v>
      </c>
      <c r="H22" s="5">
        <f t="shared" si="3"/>
        <v>12.898673993236748</v>
      </c>
      <c r="I22" s="7">
        <f t="shared" si="3"/>
        <v>39.907277833898085</v>
      </c>
      <c r="J22" s="7">
        <f t="shared" si="3"/>
        <v>37.155655963389698</v>
      </c>
      <c r="K22" s="5">
        <f t="shared" si="3"/>
        <v>26.523590112862472</v>
      </c>
      <c r="L22" s="5">
        <f t="shared" si="3"/>
        <v>34.849665870756041</v>
      </c>
      <c r="M22" s="5">
        <f t="shared" si="3"/>
        <v>25.265287603600655</v>
      </c>
      <c r="N22" s="5">
        <f t="shared" si="3"/>
        <v>17.643993152330822</v>
      </c>
      <c r="O22" s="5">
        <f t="shared" si="3"/>
        <v>13.634821252878858</v>
      </c>
      <c r="P22" s="14"/>
      <c r="Q22" s="67">
        <f t="shared" si="4"/>
        <v>6705.7209957497962</v>
      </c>
      <c r="R22" s="74">
        <f>SQRT(R20)</f>
        <v>29.205154837220263</v>
      </c>
      <c r="S22" s="66">
        <f t="shared" ref="S22" si="6">I22^2+J22^2</f>
        <v>2973.1335941817097</v>
      </c>
      <c r="T22" s="74">
        <f>SQRT(T20)</f>
        <v>41.746270230404946</v>
      </c>
      <c r="U22" s="75">
        <f>SQRT(U20)</f>
        <v>24.27537144859069</v>
      </c>
      <c r="V22" s="76">
        <f>AVERAGE(F18:O24)</f>
        <v>26.745273871794062</v>
      </c>
      <c r="W22" s="76">
        <f>AVERAGE(I18:J22,M19:N21)</f>
        <v>40.291705808325901</v>
      </c>
      <c r="X22" s="76">
        <f>AVERAGE(F18:H24,I23:J24,K18:L24,M18:N18,M22:N24,O18:O24)</f>
        <v>22.731516260969823</v>
      </c>
    </row>
    <row r="23" spans="5:24">
      <c r="E23" s="4">
        <v>6</v>
      </c>
      <c r="F23" s="5">
        <f t="shared" si="3"/>
        <v>16.245882361029977</v>
      </c>
      <c r="G23" s="5">
        <f t="shared" si="3"/>
        <v>10.077020324322167</v>
      </c>
      <c r="H23" s="5">
        <f t="shared" si="3"/>
        <v>7.4567986871800427</v>
      </c>
      <c r="I23" s="5">
        <f t="shared" si="3"/>
        <v>29.900460525651052</v>
      </c>
      <c r="J23" s="5">
        <f t="shared" si="3"/>
        <v>19.149541634649978</v>
      </c>
      <c r="K23" s="5">
        <f t="shared" si="3"/>
        <v>21.461950675066326</v>
      </c>
      <c r="L23" s="5">
        <f t="shared" si="3"/>
        <v>27.459252277085952</v>
      </c>
      <c r="M23" s="5">
        <f t="shared" si="3"/>
        <v>24.015000370020111</v>
      </c>
      <c r="N23" s="5">
        <f t="shared" si="3"/>
        <v>33.773157486861145</v>
      </c>
      <c r="O23" s="5">
        <f t="shared" si="3"/>
        <v>21.29887053686641</v>
      </c>
      <c r="P23" s="14"/>
      <c r="Q23" s="67">
        <f t="shared" si="4"/>
        <v>5067.4355213757844</v>
      </c>
      <c r="R23" s="66"/>
      <c r="S23" t="s">
        <v>41</v>
      </c>
      <c r="T23" s="66">
        <f>4*PI()*$D$4*T22*$B$4*$B$4*10^12</f>
        <v>4.2050745017769637E+25</v>
      </c>
      <c r="U23" s="66">
        <f>4*PI()*$D$4*U22*$B$4*$B$4*10^12</f>
        <v>2.4452422919757217E+25</v>
      </c>
    </row>
    <row r="24" spans="5:24" ht="14.25" thickBot="1">
      <c r="E24" s="4">
        <v>7</v>
      </c>
      <c r="F24" s="5">
        <f t="shared" si="3"/>
        <v>14.272663925456522</v>
      </c>
      <c r="G24" s="5">
        <f t="shared" si="3"/>
        <v>11.44797730725581</v>
      </c>
      <c r="H24" s="5">
        <f t="shared" si="3"/>
        <v>11.707918746013402</v>
      </c>
      <c r="I24" s="5">
        <f t="shared" si="3"/>
        <v>28.509976001779936</v>
      </c>
      <c r="J24" s="5">
        <f t="shared" si="3"/>
        <v>22.601784899779616</v>
      </c>
      <c r="K24" s="5">
        <f t="shared" si="3"/>
        <v>20.086462592702606</v>
      </c>
      <c r="L24" s="5">
        <f t="shared" si="3"/>
        <v>22.194442188304823</v>
      </c>
      <c r="M24" s="5">
        <f t="shared" si="3"/>
        <v>33.949937671406481</v>
      </c>
      <c r="N24" s="5">
        <f t="shared" si="3"/>
        <v>27.870998219817405</v>
      </c>
      <c r="O24" s="5">
        <f t="shared" si="3"/>
        <v>27.890845182853958</v>
      </c>
      <c r="P24" s="14"/>
      <c r="Q24" s="68">
        <f t="shared" si="4"/>
        <v>5398.8491918111213</v>
      </c>
      <c r="R24" s="65" t="s">
        <v>17</v>
      </c>
      <c r="S24" s="66" t="s">
        <v>30</v>
      </c>
      <c r="T24" t="s">
        <v>43</v>
      </c>
      <c r="U24" t="s">
        <v>43</v>
      </c>
    </row>
    <row r="25" spans="5:24" ht="14.25" thickBot="1">
      <c r="F25" s="14"/>
      <c r="G25" s="14"/>
      <c r="H25" s="14"/>
      <c r="I25" s="14"/>
      <c r="J25" s="14"/>
      <c r="K25" s="14"/>
      <c r="L25" s="14"/>
      <c r="M25" s="14"/>
      <c r="N25" s="14"/>
      <c r="O25" s="2" t="s">
        <v>19</v>
      </c>
      <c r="P25" s="14"/>
      <c r="Q25" s="69">
        <f>SUM(Q18:Q24)</f>
        <v>59705.874834620714</v>
      </c>
      <c r="R25" s="70">
        <f>SQRT(Q25)</f>
        <v>244.3478562104049</v>
      </c>
      <c r="S25" s="71">
        <f>SQRT(SUM(S18:S22))</f>
        <v>166.98508092161978</v>
      </c>
      <c r="T25" s="72">
        <f>T22/R22</f>
        <v>1.429414446288152</v>
      </c>
      <c r="U25" s="73">
        <f>T22/U22</f>
        <v>1.7196964552659206</v>
      </c>
    </row>
    <row r="26" spans="5:24" ht="14.25" thickBot="1">
      <c r="E26" s="4">
        <v>1</v>
      </c>
      <c r="F26" s="1" t="s">
        <v>16</v>
      </c>
      <c r="Q26" s="10" t="s">
        <v>18</v>
      </c>
      <c r="R26" t="s">
        <v>24</v>
      </c>
      <c r="S26" t="s">
        <v>30</v>
      </c>
      <c r="T26" t="s">
        <v>24</v>
      </c>
      <c r="U26" t="s">
        <v>31</v>
      </c>
    </row>
    <row r="27" spans="5:24" ht="14.25" thickBot="1">
      <c r="E27" s="4">
        <v>2</v>
      </c>
      <c r="F27" s="8">
        <f>4*PI()*$D$4*F18*$B$4*$B$4*10^12</f>
        <v>2.2086700821546308E+25</v>
      </c>
      <c r="G27" s="8">
        <f t="shared" ref="G27:O27" si="7">4*PI()*$D$4*G18*$B$4*$B$4*10^12</f>
        <v>7.994035656670683E+24</v>
      </c>
      <c r="H27" s="8">
        <f t="shared" si="7"/>
        <v>2.5504913739056721E+25</v>
      </c>
      <c r="I27" s="9">
        <f t="shared" si="7"/>
        <v>3.1518035571632617E+25</v>
      </c>
      <c r="J27" s="9">
        <f t="shared" si="7"/>
        <v>2.4452796401065121E+25</v>
      </c>
      <c r="K27" s="8">
        <f t="shared" si="7"/>
        <v>1.9405683233658476E+25</v>
      </c>
      <c r="L27" s="8">
        <f t="shared" si="7"/>
        <v>2.0437887089978227E+25</v>
      </c>
      <c r="M27" s="8">
        <f t="shared" si="7"/>
        <v>1.0552618199716626E+25</v>
      </c>
      <c r="N27" s="8">
        <f t="shared" si="7"/>
        <v>2.0794072536920518E+25</v>
      </c>
      <c r="O27" s="8">
        <f t="shared" si="7"/>
        <v>2.6095999913436984E+25</v>
      </c>
      <c r="P27" s="17"/>
      <c r="Q27" s="52">
        <f>F27^2+G27^2+H27^2+I27^2+J27^2+K27^2+L27^2+M27^2+N27^2+O27^2</f>
        <v>4.8125935877135818E+51</v>
      </c>
      <c r="R27" s="63">
        <f>SUM(Q27:Q33)</f>
        <v>6.0579975783711725E+52</v>
      </c>
      <c r="S27" s="11">
        <f>I27^2+J27^2</f>
        <v>1.5913258181266424E+51</v>
      </c>
      <c r="T27" s="63">
        <f>SUM(S27:S31)</f>
        <v>2.8292242504791648E+52</v>
      </c>
      <c r="U27" s="63">
        <f>R27-T27</f>
        <v>3.2287733278920078E+52</v>
      </c>
    </row>
    <row r="28" spans="5:24" ht="14.25" thickBot="1">
      <c r="E28" s="4">
        <v>3</v>
      </c>
      <c r="F28" s="8">
        <f t="shared" ref="F28:O33" si="8">4*PI()*$D$4*F19*$B$4*$B$4*10^12</f>
        <v>1.6935380427979072E+25</v>
      </c>
      <c r="G28" s="8">
        <f t="shared" si="8"/>
        <v>3.8407602464341974E+24</v>
      </c>
      <c r="H28" s="8">
        <f t="shared" si="8"/>
        <v>3.5376157237474327E+25</v>
      </c>
      <c r="I28" s="9">
        <f t="shared" si="8"/>
        <v>3.5946103577086147E+25</v>
      </c>
      <c r="J28" s="9">
        <f t="shared" si="8"/>
        <v>3.0021621133794986E+25</v>
      </c>
      <c r="K28" s="8">
        <f t="shared" si="8"/>
        <v>3.0293794713499905E+25</v>
      </c>
      <c r="L28" s="8">
        <f t="shared" si="8"/>
        <v>2.225735721059445E+25</v>
      </c>
      <c r="M28" s="9">
        <f t="shared" si="8"/>
        <v>3.2659572152883599E+25</v>
      </c>
      <c r="N28" s="9">
        <f t="shared" si="8"/>
        <v>4.4220781764494418E+25</v>
      </c>
      <c r="O28" s="8">
        <f t="shared" si="8"/>
        <v>3.3672001644978049E+25</v>
      </c>
      <c r="P28" s="17"/>
      <c r="Q28" s="12">
        <f t="shared" ref="Q28:Q33" si="9">F28^2+G28^2+H28^2+I28^2+J28^2+K28^2+L28^2+M28^2+N28^2+O28^2</f>
        <v>9.3154839842727366E+51</v>
      </c>
      <c r="R28" t="s">
        <v>40</v>
      </c>
      <c r="S28" s="11">
        <f>I28^2+J28^2+M28^2+N28^2</f>
        <v>5.2155452909481834E+51</v>
      </c>
      <c r="T28" t="s">
        <v>40</v>
      </c>
      <c r="U28" t="s">
        <v>40</v>
      </c>
    </row>
    <row r="29" spans="5:24" ht="14.25" thickBot="1">
      <c r="E29" s="4">
        <v>4</v>
      </c>
      <c r="F29" s="8">
        <f t="shared" si="8"/>
        <v>2.7914616805396332E+25</v>
      </c>
      <c r="G29" s="8">
        <f t="shared" si="8"/>
        <v>1.4218762743769341E+25</v>
      </c>
      <c r="H29" s="8">
        <f t="shared" si="8"/>
        <v>4.0795171150267676E+25</v>
      </c>
      <c r="I29" s="9">
        <f t="shared" si="8"/>
        <v>4.1953595292354676E+25</v>
      </c>
      <c r="J29" s="9">
        <f t="shared" si="8"/>
        <v>5.0765699617260529E+25</v>
      </c>
      <c r="K29" s="8">
        <f t="shared" si="8"/>
        <v>3.6517665960140235E+25</v>
      </c>
      <c r="L29" s="8">
        <f t="shared" si="8"/>
        <v>2.6557706455263139E+25</v>
      </c>
      <c r="M29" s="9">
        <f t="shared" si="8"/>
        <v>4.2173771273459258E+25</v>
      </c>
      <c r="N29" s="9">
        <f t="shared" si="8"/>
        <v>7.2939122852232688E+25</v>
      </c>
      <c r="O29" s="8">
        <f t="shared" si="8"/>
        <v>3.0052360627753088E+25</v>
      </c>
      <c r="P29" s="17"/>
      <c r="Q29" s="12">
        <f t="shared" si="9"/>
        <v>1.7023644154639946E+52</v>
      </c>
      <c r="R29" s="63">
        <f>R27/70</f>
        <v>8.6542822548159609E+50</v>
      </c>
      <c r="S29" s="11">
        <f t="shared" ref="S29:S30" si="10">I29^2+J29^2+M29^2+N29^2</f>
        <v>1.143600304146376E+52</v>
      </c>
      <c r="T29" s="63">
        <f>T27/16</f>
        <v>1.768265156549478E+51</v>
      </c>
      <c r="U29" s="63">
        <f>U27/54</f>
        <v>5.9792098664666812E+50</v>
      </c>
    </row>
    <row r="30" spans="5:24" ht="14.25" thickBot="1">
      <c r="E30" s="4">
        <v>5</v>
      </c>
      <c r="F30" s="8">
        <f t="shared" si="8"/>
        <v>2.9818815358528913E+25</v>
      </c>
      <c r="G30" s="8">
        <f t="shared" si="8"/>
        <v>1.6083210395150808E+25</v>
      </c>
      <c r="H30" s="8">
        <f t="shared" si="8"/>
        <v>2.0675302674436597E+25</v>
      </c>
      <c r="I30" s="9">
        <f t="shared" si="8"/>
        <v>4.0545352326047631E+25</v>
      </c>
      <c r="J30" s="9">
        <f t="shared" si="8"/>
        <v>5.2944777391440903E+25</v>
      </c>
      <c r="K30" s="8">
        <f t="shared" si="8"/>
        <v>3.7864592779624595E+25</v>
      </c>
      <c r="L30" s="8">
        <f t="shared" si="8"/>
        <v>3.3360248565193271E+25</v>
      </c>
      <c r="M30" s="9">
        <f t="shared" si="8"/>
        <v>3.2474086013001486E+25</v>
      </c>
      <c r="N30" s="9">
        <f t="shared" si="8"/>
        <v>3.9128843938178143E+25</v>
      </c>
      <c r="O30" s="8">
        <f t="shared" si="8"/>
        <v>2.9158314974505402E+25</v>
      </c>
      <c r="P30" s="17"/>
      <c r="Q30" s="12">
        <f t="shared" si="9"/>
        <v>1.2004848188121723E+52</v>
      </c>
      <c r="R30" t="s">
        <v>41</v>
      </c>
      <c r="S30" s="11">
        <f t="shared" si="10"/>
        <v>7.0327077385906872E+51</v>
      </c>
      <c r="T30" t="s">
        <v>41</v>
      </c>
      <c r="U30" t="s">
        <v>41</v>
      </c>
    </row>
    <row r="31" spans="5:24" ht="14.25" thickBot="1">
      <c r="E31" s="4">
        <v>6</v>
      </c>
      <c r="F31" s="8">
        <f t="shared" si="8"/>
        <v>1.3579316060830112E+25</v>
      </c>
      <c r="G31" s="8">
        <f t="shared" si="8"/>
        <v>1.8323905475538829E+25</v>
      </c>
      <c r="H31" s="8">
        <f t="shared" si="8"/>
        <v>1.2992749966963302E+25</v>
      </c>
      <c r="I31" s="9">
        <f t="shared" si="8"/>
        <v>4.019834000222397E+25</v>
      </c>
      <c r="J31" s="9">
        <f t="shared" si="8"/>
        <v>3.742664928534183E+25</v>
      </c>
      <c r="K31" s="8">
        <f t="shared" si="8"/>
        <v>2.6717038878828646E+25</v>
      </c>
      <c r="L31" s="8">
        <f t="shared" si="8"/>
        <v>3.5103840544257793E+25</v>
      </c>
      <c r="M31" s="8">
        <f t="shared" si="8"/>
        <v>2.544955898948392E+25</v>
      </c>
      <c r="N31" s="8">
        <f t="shared" si="8"/>
        <v>1.7772678925542898E+25</v>
      </c>
      <c r="O31" s="8">
        <f t="shared" si="8"/>
        <v>1.373426628782002E+25</v>
      </c>
      <c r="P31" s="17"/>
      <c r="Q31" s="52">
        <f t="shared" si="9"/>
        <v>6.80389353074673E+51</v>
      </c>
      <c r="R31" s="63">
        <f>SQRT(R29)</f>
        <v>2.9418161490507801E+25</v>
      </c>
      <c r="S31" s="11">
        <f t="shared" ref="S31" si="11">I31^2+J31^2</f>
        <v>3.0166606156623782E+51</v>
      </c>
      <c r="T31" s="63">
        <f>SQRT(T29)</f>
        <v>4.2050745017769637E+25</v>
      </c>
      <c r="U31" s="63">
        <f>SQRT(U29)</f>
        <v>2.4452422919757217E+25</v>
      </c>
    </row>
    <row r="32" spans="5:24">
      <c r="E32" s="4">
        <v>7</v>
      </c>
      <c r="F32" s="8">
        <f t="shared" si="8"/>
        <v>1.6364371067928246E+25</v>
      </c>
      <c r="G32" s="8">
        <f t="shared" si="8"/>
        <v>1.0150516677495367E+25</v>
      </c>
      <c r="H32" s="8">
        <f t="shared" si="8"/>
        <v>7.5111845564366179E+24</v>
      </c>
      <c r="I32" s="8">
        <f t="shared" si="8"/>
        <v>3.0118538363752698E+25</v>
      </c>
      <c r="J32" s="8">
        <f t="shared" si="8"/>
        <v>1.9289208066768622E+25</v>
      </c>
      <c r="K32" s="8">
        <f t="shared" si="8"/>
        <v>2.1618482571979672E+25</v>
      </c>
      <c r="L32" s="8">
        <f t="shared" si="8"/>
        <v>2.7659525258411357E+25</v>
      </c>
      <c r="M32" s="8">
        <f t="shared" si="8"/>
        <v>2.4190152834919825E+25</v>
      </c>
      <c r="N32" s="8">
        <f t="shared" si="8"/>
        <v>3.4019480688615273E+25</v>
      </c>
      <c r="O32" s="8">
        <f t="shared" si="8"/>
        <v>2.1454213015177138E+25</v>
      </c>
      <c r="P32" s="17"/>
      <c r="Q32" s="12">
        <f t="shared" si="9"/>
        <v>5.1416233665578739E+51</v>
      </c>
      <c r="R32" s="11">
        <f>SQRT(70*R31^2)</f>
        <v>2.4612999773231975E+26</v>
      </c>
      <c r="S32" t="s">
        <v>32</v>
      </c>
      <c r="T32" s="11">
        <f>SQRT(16*T31^2)</f>
        <v>1.6820298007107855E+26</v>
      </c>
      <c r="U32" s="11">
        <f>SQRT(54*U31^2)</f>
        <v>1.7968787738442477E+26</v>
      </c>
    </row>
    <row r="33" spans="5:23" ht="14.25" thickBot="1">
      <c r="F33" s="8">
        <f t="shared" si="8"/>
        <v>1.4376761040955621E+25</v>
      </c>
      <c r="G33" s="8">
        <f t="shared" si="8"/>
        <v>1.153147268150469E+25</v>
      </c>
      <c r="H33" s="8">
        <f t="shared" si="8"/>
        <v>1.1793309992967944E+25</v>
      </c>
      <c r="I33" s="8">
        <f t="shared" si="8"/>
        <v>2.8717912395450672E+25</v>
      </c>
      <c r="J33" s="8">
        <f t="shared" si="8"/>
        <v>2.2766630132981096E+25</v>
      </c>
      <c r="K33" s="8">
        <f t="shared" si="8"/>
        <v>2.0232962421143992E+25</v>
      </c>
      <c r="L33" s="8">
        <f t="shared" si="8"/>
        <v>2.2356316483389519E+25</v>
      </c>
      <c r="M33" s="8">
        <f t="shared" si="8"/>
        <v>3.4197550212514826E+25</v>
      </c>
      <c r="N33" s="8">
        <f t="shared" si="8"/>
        <v>2.8074274254054346E+25</v>
      </c>
      <c r="O33" s="8">
        <f t="shared" si="8"/>
        <v>2.809426597013871E+25</v>
      </c>
      <c r="P33" s="17"/>
      <c r="Q33" s="18">
        <f t="shared" si="9"/>
        <v>5.4778889716591327E+51</v>
      </c>
      <c r="R33" s="10" t="s">
        <v>17</v>
      </c>
      <c r="S33" s="10"/>
      <c r="T33" t="s">
        <v>30</v>
      </c>
      <c r="U33" t="s">
        <v>31</v>
      </c>
    </row>
    <row r="34" spans="5:23" ht="14.25" thickBot="1">
      <c r="O34" s="2" t="s">
        <v>19</v>
      </c>
      <c r="Q34" s="63">
        <f>SUM(Q27:Q33)</f>
        <v>6.0579975783711725E+52</v>
      </c>
      <c r="R34" s="64">
        <f>SQRT(Q34)</f>
        <v>2.4612999773231975E+26</v>
      </c>
      <c r="S34" s="10"/>
      <c r="T34" s="63">
        <f>SQRT(SUM(S27:S31))</f>
        <v>1.6820298007107855E+26</v>
      </c>
      <c r="U34" s="63">
        <f>SQRT(R34^2-T34^2)</f>
        <v>1.7968787738442477E+26</v>
      </c>
      <c r="V34" t="s">
        <v>36</v>
      </c>
    </row>
    <row r="35" spans="5:23" ht="14.25" thickBot="1">
      <c r="E35" s="4">
        <v>1</v>
      </c>
      <c r="F35" s="2" t="s">
        <v>21</v>
      </c>
      <c r="Q35" t="s">
        <v>35</v>
      </c>
      <c r="R35" s="11">
        <f>R34/70</f>
        <v>3.5161428247474249E+24</v>
      </c>
      <c r="S35" s="10"/>
      <c r="T35" s="11">
        <f>T34/16</f>
        <v>1.0512686254442409E+25</v>
      </c>
      <c r="U35" s="11">
        <f>U34/54</f>
        <v>3.3275532848967553E+24</v>
      </c>
      <c r="V35" s="66">
        <f>T35/U35</f>
        <v>3.1592841209058471</v>
      </c>
      <c r="W35" s="66">
        <f>T34/R34</f>
        <v>0.68339081631979204</v>
      </c>
    </row>
    <row r="36" spans="5:23" ht="14.25" thickBot="1">
      <c r="E36" s="4">
        <v>2</v>
      </c>
      <c r="F36" s="23">
        <v>1.7105967672131268</v>
      </c>
      <c r="G36" s="24">
        <v>0.33119524453107718</v>
      </c>
      <c r="H36" s="31">
        <v>4.0471449553975702</v>
      </c>
      <c r="I36" s="35">
        <v>5.7204888436216699</v>
      </c>
      <c r="J36" s="36">
        <v>4.1420096873377776</v>
      </c>
      <c r="K36" s="32">
        <v>2.4734952152773615</v>
      </c>
      <c r="L36" s="24">
        <v>1.8139532794424444</v>
      </c>
      <c r="M36" s="42">
        <v>0.79923266324644171</v>
      </c>
      <c r="N36" s="42">
        <v>2.3541265429029083</v>
      </c>
      <c r="O36" s="25">
        <v>2.3519163463014583</v>
      </c>
      <c r="Q36" t="s">
        <v>27</v>
      </c>
    </row>
    <row r="37" spans="5:23" ht="14.25" thickBot="1">
      <c r="E37" s="4">
        <v>3</v>
      </c>
      <c r="F37" s="26">
        <v>2.4776450512533064</v>
      </c>
      <c r="G37" s="3">
        <v>0.28587180693450692</v>
      </c>
      <c r="H37" s="15">
        <v>4.8089042546093594</v>
      </c>
      <c r="I37" s="37">
        <v>6.6996958289164139</v>
      </c>
      <c r="J37" s="38">
        <v>5.3584779900639692</v>
      </c>
      <c r="K37" s="33">
        <v>4.4762536177030894</v>
      </c>
      <c r="L37" s="15">
        <v>2.682466747230988</v>
      </c>
      <c r="M37" s="35">
        <v>4.6466648555711432</v>
      </c>
      <c r="N37" s="36">
        <v>7.5761534778540476</v>
      </c>
      <c r="O37" s="41">
        <v>2.5981369575139799</v>
      </c>
      <c r="Q37" s="21">
        <f>AVERAGE(F36:O42)</f>
        <v>3.6392889099120969</v>
      </c>
    </row>
    <row r="38" spans="5:23" ht="14.25" thickBot="1">
      <c r="E38" s="4">
        <v>4</v>
      </c>
      <c r="F38" s="26">
        <v>2.9918775325871878</v>
      </c>
      <c r="G38" s="3">
        <v>1.801076081124837</v>
      </c>
      <c r="H38" s="15">
        <v>5.389188967739023</v>
      </c>
      <c r="I38" s="37">
        <v>7.3552237362299184</v>
      </c>
      <c r="J38" s="38">
        <v>8.4877492246177955</v>
      </c>
      <c r="K38" s="33">
        <v>5.4609924308682203</v>
      </c>
      <c r="L38" s="15">
        <v>3.4951368456757166</v>
      </c>
      <c r="M38" s="37">
        <v>7.9674493817030312</v>
      </c>
      <c r="N38" s="38">
        <v>8.9678873437393243</v>
      </c>
      <c r="O38" s="41">
        <v>3.731712928401647</v>
      </c>
      <c r="Q38" t="s">
        <v>22</v>
      </c>
    </row>
    <row r="39" spans="5:23" ht="14.25" thickBot="1">
      <c r="E39" s="4">
        <v>5</v>
      </c>
      <c r="F39" s="26">
        <v>3.4864646922061322</v>
      </c>
      <c r="G39" s="3">
        <v>2.6756808423277989</v>
      </c>
      <c r="H39" s="15">
        <v>2.3569208132646291</v>
      </c>
      <c r="I39" s="37">
        <v>7.8073361353281054</v>
      </c>
      <c r="J39" s="38">
        <v>8.3258096693354684</v>
      </c>
      <c r="K39" s="33">
        <v>4.8749029200590241</v>
      </c>
      <c r="L39" s="15">
        <v>4.2938589601895405</v>
      </c>
      <c r="M39" s="39">
        <v>6.0071450531845825</v>
      </c>
      <c r="N39" s="40">
        <v>5.5701747997706494</v>
      </c>
      <c r="O39" s="41">
        <v>2.1069390166779862</v>
      </c>
      <c r="Q39" s="19">
        <f>16/70</f>
        <v>0.22857142857142856</v>
      </c>
    </row>
    <row r="40" spans="5:23" ht="14.25" thickBot="1">
      <c r="E40" s="4">
        <v>6</v>
      </c>
      <c r="F40" s="26">
        <v>1.6312695240210917</v>
      </c>
      <c r="G40" s="3">
        <v>2.1289988374820688</v>
      </c>
      <c r="H40" s="15">
        <v>1.0944661940873277</v>
      </c>
      <c r="I40" s="39">
        <v>6.1039576882543995</v>
      </c>
      <c r="J40" s="40">
        <v>5.5613492787272394</v>
      </c>
      <c r="K40" s="33">
        <v>3.9863278565617248</v>
      </c>
      <c r="L40" s="3">
        <v>4.5731974208424457</v>
      </c>
      <c r="M40" s="34">
        <v>3.3911432084180695</v>
      </c>
      <c r="N40" s="34">
        <v>1.7303773721359164</v>
      </c>
      <c r="O40" s="27">
        <v>1.3174266317332435</v>
      </c>
      <c r="Q40" t="s">
        <v>29</v>
      </c>
      <c r="S40" t="s">
        <v>26</v>
      </c>
    </row>
    <row r="41" spans="5:23" ht="14.25" thickBot="1">
      <c r="E41" s="4">
        <v>7</v>
      </c>
      <c r="F41" s="26">
        <v>1.5515397320081754</v>
      </c>
      <c r="G41" s="3">
        <v>1.1680772962437032</v>
      </c>
      <c r="H41" s="3">
        <v>0.82808185585725769</v>
      </c>
      <c r="I41" s="34">
        <v>4.12244575949763</v>
      </c>
      <c r="J41" s="34">
        <v>2.7654088395750813</v>
      </c>
      <c r="K41" s="3">
        <v>2.5789788696303813</v>
      </c>
      <c r="L41" s="3">
        <v>4.2065395576411744</v>
      </c>
      <c r="M41" s="3">
        <v>3.8271313499800335</v>
      </c>
      <c r="N41" s="3">
        <v>2.7872982204995571</v>
      </c>
      <c r="O41" s="27">
        <v>2.4654258861300211</v>
      </c>
      <c r="Q41" s="20">
        <f>AVERAGE(I36:J40,M37:N39)</f>
        <v>6.6435983121409716</v>
      </c>
      <c r="S41" s="22">
        <f>Q41/Q37</f>
        <v>1.8255209950620384</v>
      </c>
    </row>
    <row r="42" spans="5:23" ht="14.25" thickBot="1">
      <c r="F42" s="28">
        <v>1.2156021758782762</v>
      </c>
      <c r="G42" s="29">
        <v>1.2312357735218713</v>
      </c>
      <c r="H42" s="29">
        <v>0.9857283043516607</v>
      </c>
      <c r="I42" s="29">
        <v>3.2793506140698034</v>
      </c>
      <c r="J42" s="29">
        <v>2.5184015565433562</v>
      </c>
      <c r="K42" s="29">
        <v>2.6625547806571039</v>
      </c>
      <c r="L42" s="29">
        <v>3.5152795408046851</v>
      </c>
      <c r="M42" s="29">
        <v>3.7056987492239566</v>
      </c>
      <c r="N42" s="29">
        <v>3.9836989093052693</v>
      </c>
      <c r="O42" s="30">
        <v>3.3252744022110416</v>
      </c>
    </row>
    <row r="43" spans="5:23" ht="14.25" thickBot="1">
      <c r="E43" s="4">
        <v>1</v>
      </c>
      <c r="F43" s="2" t="s">
        <v>23</v>
      </c>
    </row>
    <row r="44" spans="5:23" ht="14.25" thickBot="1">
      <c r="E44" s="4">
        <v>2</v>
      </c>
      <c r="F44" s="43">
        <v>6.6713273921311949E+18</v>
      </c>
      <c r="G44" s="44">
        <v>1.291661453671201E+18</v>
      </c>
      <c r="H44" s="45">
        <v>1.5783865326050523E+19</v>
      </c>
      <c r="I44" s="46">
        <v>2.2309906490124513E+19</v>
      </c>
      <c r="J44" s="47">
        <v>1.6153837780617333E+19</v>
      </c>
      <c r="K44" s="48">
        <v>9.6466313395817103E+18</v>
      </c>
      <c r="L44" s="44">
        <v>7.0744177898255329E+18</v>
      </c>
      <c r="M44" s="49">
        <v>3.1170073866611226E+18</v>
      </c>
      <c r="N44" s="49">
        <v>9.181093517321343E+18</v>
      </c>
      <c r="O44" s="50">
        <v>9.1724737505756877E+18</v>
      </c>
      <c r="Q44" t="s">
        <v>24</v>
      </c>
    </row>
    <row r="45" spans="5:23" ht="14.25" thickBot="1">
      <c r="E45" s="4">
        <v>3</v>
      </c>
      <c r="F45" s="51">
        <v>9.6628156998878945E+18</v>
      </c>
      <c r="G45" s="12">
        <v>1.114900047044577E+18</v>
      </c>
      <c r="H45" s="52">
        <v>1.8754726592976503E+19</v>
      </c>
      <c r="I45" s="53">
        <v>2.6128813732774015E+19</v>
      </c>
      <c r="J45" s="54">
        <v>2.0898064161249481E+19</v>
      </c>
      <c r="K45" s="16">
        <v>1.7457389109042049E+19</v>
      </c>
      <c r="L45" s="52">
        <v>1.0461620314200852E+19</v>
      </c>
      <c r="M45" s="46">
        <v>1.8121992936727458E+19</v>
      </c>
      <c r="N45" s="47">
        <v>2.9546998563630785E+19</v>
      </c>
      <c r="O45" s="55">
        <v>1.0132734134304522E+19</v>
      </c>
      <c r="Q45" s="64">
        <f>SUM(F44:O50)</f>
        <v>9.9352587240600293E+20</v>
      </c>
    </row>
    <row r="46" spans="5:23" ht="14.25" thickBot="1">
      <c r="E46" s="4">
        <v>4</v>
      </c>
      <c r="F46" s="51">
        <v>1.1668322377090032E+19</v>
      </c>
      <c r="G46" s="12">
        <v>7.0241967163868641E+18</v>
      </c>
      <c r="H46" s="52">
        <v>2.1017836974182191E+19</v>
      </c>
      <c r="I46" s="53">
        <v>2.8685372571296682E+19</v>
      </c>
      <c r="J46" s="54">
        <v>3.31022219760094E+19</v>
      </c>
      <c r="K46" s="16">
        <v>2.129787048038606E+19</v>
      </c>
      <c r="L46" s="52">
        <v>1.3631033698135294E+19</v>
      </c>
      <c r="M46" s="53">
        <v>3.1073052588641821E+19</v>
      </c>
      <c r="N46" s="54">
        <v>3.4974760640583365E+19</v>
      </c>
      <c r="O46" s="55">
        <v>1.4553680420766423E+19</v>
      </c>
      <c r="Q46" t="s">
        <v>28</v>
      </c>
      <c r="S46" t="s">
        <v>33</v>
      </c>
    </row>
    <row r="47" spans="5:23" ht="14.25" thickBot="1">
      <c r="E47" s="4">
        <v>5</v>
      </c>
      <c r="F47" s="51">
        <v>1.3597212299603915E+19</v>
      </c>
      <c r="G47" s="12">
        <v>1.0435155285078415E+19</v>
      </c>
      <c r="H47" s="52">
        <v>9.191991171732053E+18</v>
      </c>
      <c r="I47" s="53">
        <v>3.0448610927779611E+19</v>
      </c>
      <c r="J47" s="54">
        <v>3.2470657710408327E+19</v>
      </c>
      <c r="K47" s="16">
        <v>1.9012121388230193E+19</v>
      </c>
      <c r="L47" s="52">
        <v>1.6746049944739207E+19</v>
      </c>
      <c r="M47" s="56">
        <v>2.3427865707419873E+19</v>
      </c>
      <c r="N47" s="57">
        <v>2.1723681719105532E+19</v>
      </c>
      <c r="O47" s="55">
        <v>8.2170621650441462E+18</v>
      </c>
      <c r="Q47" s="63">
        <f>SUM(I44:J48,M45:N47)</f>
        <v>4.145605346775966E+20</v>
      </c>
      <c r="R47" s="11" t="s">
        <v>32</v>
      </c>
      <c r="S47" s="63">
        <f>Q39*S41*Q45</f>
        <v>4.1456053467759686E+20</v>
      </c>
    </row>
    <row r="48" spans="5:23" ht="14.25" thickBot="1">
      <c r="E48" s="4">
        <v>6</v>
      </c>
      <c r="F48" s="51">
        <v>6.3619511436822579E+18</v>
      </c>
      <c r="G48" s="12">
        <v>8.3030954661800684E+18</v>
      </c>
      <c r="H48" s="52">
        <v>4.2684181569405778E+18</v>
      </c>
      <c r="I48" s="56">
        <v>2.380543498419216E+19</v>
      </c>
      <c r="J48" s="57">
        <v>2.1689262187036234E+19</v>
      </c>
      <c r="K48" s="16">
        <v>1.5546678640590727E+19</v>
      </c>
      <c r="L48" s="12">
        <v>1.7835469941285538E+19</v>
      </c>
      <c r="M48" s="58">
        <v>1.322545851283047E+19</v>
      </c>
      <c r="N48" s="58">
        <v>6.7484717513300736E+18</v>
      </c>
      <c r="O48" s="59">
        <v>5.1379638637596498E+18</v>
      </c>
      <c r="Q48" t="s">
        <v>25</v>
      </c>
      <c r="S48" t="s">
        <v>25</v>
      </c>
    </row>
    <row r="49" spans="5:19" ht="14.25" thickBot="1">
      <c r="E49" s="4">
        <v>7</v>
      </c>
      <c r="F49" s="51">
        <v>6.0510049548318843E+18</v>
      </c>
      <c r="G49" s="12">
        <v>4.5555014553504425E+18</v>
      </c>
      <c r="H49" s="12">
        <v>3.229519237843305E+18</v>
      </c>
      <c r="I49" s="58">
        <v>1.6077538462040756E+19</v>
      </c>
      <c r="J49" s="58">
        <v>1.0785094474342818E+19</v>
      </c>
      <c r="K49" s="12">
        <v>1.0058017591558486E+19</v>
      </c>
      <c r="L49" s="12">
        <v>1.6405504274800581E+19</v>
      </c>
      <c r="M49" s="12">
        <v>1.492581226492213E+19</v>
      </c>
      <c r="N49" s="12">
        <v>1.0870463059948274E+19</v>
      </c>
      <c r="O49" s="59">
        <v>9.6151609559070822E+18</v>
      </c>
      <c r="Q49" s="63">
        <f>Q45-Q47</f>
        <v>5.7896533772840632E+20</v>
      </c>
      <c r="S49" s="63">
        <f>Q45-S47</f>
        <v>5.7896533772840606E+20</v>
      </c>
    </row>
    <row r="50" spans="5:19" ht="14.25" thickBot="1">
      <c r="F50" s="60">
        <v>4.7408484859252777E+18</v>
      </c>
      <c r="G50" s="61">
        <v>4.8018195167352986E+18</v>
      </c>
      <c r="H50" s="61">
        <v>3.8443403869714765E+18</v>
      </c>
      <c r="I50" s="61">
        <v>1.2789467394872234E+19</v>
      </c>
      <c r="J50" s="61">
        <v>9.8217660705190892E+18</v>
      </c>
      <c r="K50" s="61">
        <v>1.0383963644562704E+19</v>
      </c>
      <c r="L50" s="61">
        <v>1.3709590209138272E+19</v>
      </c>
      <c r="M50" s="61">
        <v>1.445222512197343E+19</v>
      </c>
      <c r="N50" s="61">
        <v>1.5536425746290551E+19</v>
      </c>
      <c r="O50" s="62">
        <v>1.2968570168623063E+19</v>
      </c>
      <c r="Q50" t="s">
        <v>47</v>
      </c>
    </row>
    <row r="51" spans="5:19" ht="14.25" thickBot="1">
      <c r="Q51">
        <f>(1-Q39)*Q39*(T25^2)</f>
        <v>0.36027489175475025</v>
      </c>
    </row>
    <row r="52" spans="5:19" ht="14.25" thickBot="1">
      <c r="Q52" t="s">
        <v>34</v>
      </c>
      <c r="R52" s="63">
        <f>R34*SQRT(Q51/(Q51+(1-Q39*T25)^2))</f>
        <v>1.6378811085764559E+26</v>
      </c>
    </row>
    <row r="53" spans="5:19" ht="14.25" thickBot="1">
      <c r="Q53" t="s">
        <v>48</v>
      </c>
      <c r="R53" s="63">
        <f>SQRT(R34^2-R52^2)</f>
        <v>1.8372106717901278E+26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Y.Hisada</dc:creator>
  <cp:lastModifiedBy>Y.Hisada</cp:lastModifiedBy>
  <dcterms:created xsi:type="dcterms:W3CDTF">2011-11-07T09:19:14Z</dcterms:created>
  <dcterms:modified xsi:type="dcterms:W3CDTF">2011-11-28T11:05:45Z</dcterms:modified>
</cp:coreProperties>
</file>